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Residual Income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0x"/>
    <numFmt numFmtId="170" formatCode="0.0%"/>
    <numFmt numFmtId="171" formatCode="0.0x"/>
  </numFmts>
  <fonts count="19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b val="1"/>
      <color rgb="00003366"/>
      <sz val="9"/>
    </font>
    <font>
      <name val="Calibri"/>
      <color rgb="00595959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2F2F2"/>
        <bgColor rgb="00F2F2F2"/>
      </patternFill>
    </fill>
    <fill>
      <patternFill patternType="solid">
        <fgColor rgb="00FFFF99"/>
        <bgColor rgb="00FFFF99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FFF2CC"/>
        <bgColor rgb="00FFF2CC"/>
      </patternFill>
    </fill>
    <fill>
      <patternFill patternType="solid">
        <fgColor rgb="004A4A4A"/>
        <bgColor rgb="004A4A4A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2" fillId="7" borderId="0" applyAlignment="1" pivotButton="0" quotePrefix="0" xfId="0">
      <alignment horizontal="right" vertical="center"/>
    </xf>
    <xf numFmtId="165" fontId="11" fillId="8" borderId="0" applyAlignment="1" pivotButton="0" quotePrefix="0" xfId="0">
      <alignment horizontal="right" vertical="center"/>
    </xf>
    <xf numFmtId="0" fontId="12" fillId="7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2" fontId="11" fillId="8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7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166" fontId="12" fillId="7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0" fillId="7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169" fontId="12" fillId="0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70" fontId="9" fillId="12" borderId="0" applyAlignment="1" pivotButton="0" quotePrefix="0" xfId="0">
      <alignment horizontal="center" vertical="center"/>
    </xf>
    <xf numFmtId="168" fontId="12" fillId="7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168" fontId="10" fillId="13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8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center" vertical="center" wrapText="1"/>
    </xf>
    <xf numFmtId="0" fontId="12" fillId="7" borderId="0" applyAlignment="1" pivotButton="0" quotePrefix="0" xfId="0">
      <alignment horizontal="left" vertical="center"/>
    </xf>
    <xf numFmtId="0" fontId="11" fillId="7" borderId="0" applyAlignment="1" pivotButton="0" quotePrefix="0" xfId="0">
      <alignment horizontal="left" vertical="center"/>
    </xf>
    <xf numFmtId="164" fontId="11" fillId="7" borderId="0" applyAlignment="1" pivotButton="0" quotePrefix="0" xfId="0">
      <alignment horizontal="center" vertical="center"/>
    </xf>
    <xf numFmtId="169" fontId="12" fillId="7" borderId="0" applyAlignment="1" pivotButton="0" quotePrefix="0" xfId="0">
      <alignment horizontal="center" vertical="center"/>
    </xf>
    <xf numFmtId="171" fontId="11" fillId="7" borderId="0" applyAlignment="1" pivotButton="0" quotePrefix="0" xfId="0">
      <alignment horizontal="center" vertical="center"/>
    </xf>
    <xf numFmtId="165" fontId="11" fillId="7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9" fontId="12" fillId="6" borderId="0" applyAlignment="1" pivotButton="0" quotePrefix="0" xfId="0">
      <alignment horizontal="center" vertical="center"/>
    </xf>
    <xf numFmtId="171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69" fontId="9" fillId="5" borderId="0" applyAlignment="1" pivotButton="0" quotePrefix="0" xfId="0">
      <alignment horizontal="center" vertical="center"/>
    </xf>
    <xf numFmtId="171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69" fontId="13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69" fontId="13" fillId="7" borderId="0" applyAlignment="1" pivotButton="0" quotePrefix="0" xfId="0">
      <alignment horizontal="center" vertical="center"/>
    </xf>
    <xf numFmtId="164" fontId="12" fillId="7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7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7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JPMorgan Chase &amp;</t>
        </is>
      </c>
    </row>
    <row r="12">
      <c r="B12" s="2" t="inlineStr">
        <is>
          <t>Sector</t>
        </is>
      </c>
      <c r="E12" s="3" t="inlineStr">
        <is>
          <t>Financial Services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Residual Income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Residual Income Valuation Model  (Financial Sector)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JPMorgan Chase &amp;</t>
        </is>
      </c>
      <c r="D3" s="8" t="inlineStr">
        <is>
          <t>Ticker:</t>
        </is>
      </c>
      <c r="E3" s="9" t="inlineStr">
        <is>
          <t>JPM</t>
        </is>
      </c>
      <c r="F3" s="8" t="inlineStr">
        <is>
          <t>Sector:</t>
        </is>
      </c>
      <c r="G3" s="9" t="inlineStr">
        <is>
          <t>Financial Services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2023A</t>
        </is>
      </c>
      <c r="D6" s="12" t="inlineStr">
        <is>
          <t>2024A</t>
        </is>
      </c>
      <c r="E6" s="12" t="inlineStr">
        <is>
          <t>2025A</t>
        </is>
      </c>
      <c r="F6" s="13" t="inlineStr">
        <is>
          <t>2026E</t>
        </is>
      </c>
      <c r="G6" s="13" t="inlineStr">
        <is>
          <t>2027E</t>
        </is>
      </c>
      <c r="H6" s="13" t="inlineStr">
        <is>
          <t>2028E</t>
        </is>
      </c>
      <c r="I6" s="13" t="inlineStr">
        <is>
          <t>2029E</t>
        </is>
      </c>
      <c r="J6" s="13" t="inlineStr">
        <is>
          <t>2030E</t>
        </is>
      </c>
      <c r="K6" s="13" t="inlineStr">
        <is>
          <t>2031E</t>
        </is>
      </c>
    </row>
    <row r="8" ht="15" customHeight="1">
      <c r="B8" s="14" t="inlineStr">
        <is>
          <t xml:space="preserve">  1.  PROFITABILITY &amp; BOOK VALUE DRIVERS</t>
        </is>
      </c>
    </row>
    <row r="9">
      <c r="B9" s="15" t="inlineStr">
        <is>
          <t>Net Income ($mm)</t>
        </is>
      </c>
      <c r="C9" s="16" t="n">
        <v>47760</v>
      </c>
      <c r="D9" s="16" t="n">
        <v>56868</v>
      </c>
      <c r="E9" s="16" t="n">
        <v>57512</v>
      </c>
      <c r="F9" s="17">
        <f>F10*F11</f>
        <v/>
      </c>
      <c r="G9" s="17">
        <f>G10*G11</f>
        <v/>
      </c>
      <c r="H9" s="17">
        <f>H10*H11</f>
        <v/>
      </c>
      <c r="I9" s="17">
        <f>I10*I11</f>
        <v/>
      </c>
      <c r="J9" s="17">
        <f>J10*J11</f>
        <v/>
      </c>
      <c r="K9" s="17">
        <f>K10*K11</f>
        <v/>
      </c>
    </row>
    <row r="10">
      <c r="B10" s="18" t="inlineStr">
        <is>
          <t xml:space="preserve">  Return on Equity (ROE, %)</t>
        </is>
      </c>
      <c r="C10" s="19">
        <f>C9/C11</f>
        <v/>
      </c>
      <c r="D10" s="19">
        <f>D9/D11</f>
        <v/>
      </c>
      <c r="E10" s="19">
        <f>E9/E11</f>
        <v/>
      </c>
      <c r="F10" s="20" t="n">
        <v>0.175</v>
      </c>
      <c r="G10" s="20" t="n">
        <v>0.175</v>
      </c>
      <c r="H10" s="20" t="n">
        <v>0.175</v>
      </c>
      <c r="I10" s="20" t="n">
        <v>0.175</v>
      </c>
      <c r="J10" s="20" t="n">
        <v>0.175</v>
      </c>
      <c r="K10" s="20" t="n">
        <v>0.175</v>
      </c>
    </row>
    <row r="11">
      <c r="B11" s="18" t="inlineStr">
        <is>
          <t>Opening Book Value ($mm)</t>
        </is>
      </c>
      <c r="C11" s="16" t="n">
        <v>266177</v>
      </c>
      <c r="D11" s="16" t="n">
        <v>282623</v>
      </c>
      <c r="E11" s="16" t="n">
        <v>302699</v>
      </c>
      <c r="F11" s="17">
        <f>E16</f>
        <v/>
      </c>
      <c r="G11" s="17">
        <f>F16</f>
        <v/>
      </c>
      <c r="H11" s="17">
        <f>G16</f>
        <v/>
      </c>
      <c r="I11" s="17">
        <f>H16</f>
        <v/>
      </c>
      <c r="J11" s="17">
        <f>I16</f>
        <v/>
      </c>
      <c r="K11" s="17">
        <f>J16</f>
        <v/>
      </c>
    </row>
    <row r="12">
      <c r="B12" s="18" t="inlineStr">
        <is>
          <t xml:space="preserve">  Book Value Growth (%)</t>
        </is>
      </c>
      <c r="C12" s="21" t="inlineStr"/>
      <c r="D12" s="19">
        <f>D11/C11-1</f>
        <v/>
      </c>
      <c r="E12" s="19">
        <f>E11/D11-1</f>
        <v/>
      </c>
      <c r="F12" s="19">
        <f>F11/E11-1</f>
        <v/>
      </c>
      <c r="G12" s="19">
        <f>G11/F11-1</f>
        <v/>
      </c>
      <c r="H12" s="19">
        <f>H11/G11-1</f>
        <v/>
      </c>
      <c r="I12" s="19">
        <f>I11/H11-1</f>
        <v/>
      </c>
      <c r="J12" s="19">
        <f>J11/I11-1</f>
        <v/>
      </c>
      <c r="K12" s="19">
        <f>K11/J11-1</f>
        <v/>
      </c>
    </row>
    <row r="13">
      <c r="B13" s="18" t="inlineStr">
        <is>
          <t>Dividends &amp; Buybacks ($mm)</t>
        </is>
      </c>
      <c r="C13" s="22" t="n">
        <v>-13463</v>
      </c>
      <c r="D13" s="22" t="n">
        <v>-14783</v>
      </c>
      <c r="E13" s="22" t="n">
        <v>-16218</v>
      </c>
      <c r="F13" s="23">
        <f>-F14*F9</f>
        <v/>
      </c>
      <c r="G13" s="23">
        <f>-G14*G9</f>
        <v/>
      </c>
      <c r="H13" s="23">
        <f>-H14*H9</f>
        <v/>
      </c>
      <c r="I13" s="23">
        <f>-I14*I9</f>
        <v/>
      </c>
      <c r="J13" s="23">
        <f>-J14*J9</f>
        <v/>
      </c>
      <c r="K13" s="23">
        <f>-K14*K9</f>
        <v/>
      </c>
    </row>
    <row r="14">
      <c r="B14" s="18" t="inlineStr">
        <is>
          <t xml:space="preserve">  Payout Ratio (% of NI)</t>
        </is>
      </c>
      <c r="C14" s="19">
        <f>-C13/C9</f>
        <v/>
      </c>
      <c r="D14" s="19">
        <f>-D13/D9</f>
        <v/>
      </c>
      <c r="E14" s="19">
        <f>-E13/E9</f>
        <v/>
      </c>
      <c r="F14" s="20" t="n">
        <v>0.282</v>
      </c>
      <c r="G14" s="20" t="n">
        <v>0.282</v>
      </c>
      <c r="H14" s="20" t="n">
        <v>0.282</v>
      </c>
      <c r="I14" s="20" t="n">
        <v>0.282</v>
      </c>
      <c r="J14" s="20" t="n">
        <v>0.282</v>
      </c>
      <c r="K14" s="20" t="n">
        <v>0.282</v>
      </c>
    </row>
    <row r="15">
      <c r="B15" s="18" t="inlineStr">
        <is>
          <t xml:space="preserve">  Retained Earnings ($mm)</t>
        </is>
      </c>
      <c r="C15" s="23">
        <f>C9+C13</f>
        <v/>
      </c>
      <c r="D15" s="23">
        <f>D9+D13</f>
        <v/>
      </c>
      <c r="E15" s="23">
        <f>E9+E13</f>
        <v/>
      </c>
      <c r="F15" s="23">
        <f>F9+F13</f>
        <v/>
      </c>
      <c r="G15" s="23">
        <f>G9+G13</f>
        <v/>
      </c>
      <c r="H15" s="23">
        <f>H9+H13</f>
        <v/>
      </c>
      <c r="I15" s="23">
        <f>I9+I13</f>
        <v/>
      </c>
      <c r="J15" s="23">
        <f>J9+J13</f>
        <v/>
      </c>
      <c r="K15" s="23">
        <f>K9+K13</f>
        <v/>
      </c>
    </row>
    <row r="16">
      <c r="B16" s="15" t="inlineStr">
        <is>
          <t>Closing Book Value ($mm)</t>
        </is>
      </c>
      <c r="C16" s="24">
        <f>C11+C15</f>
        <v/>
      </c>
      <c r="D16" s="24">
        <f>D11+D15</f>
        <v/>
      </c>
      <c r="E16" s="24">
        <f>E11+E15</f>
        <v/>
      </c>
      <c r="F16" s="24">
        <f>F11+F15</f>
        <v/>
      </c>
      <c r="G16" s="24">
        <f>G11+G15</f>
        <v/>
      </c>
      <c r="H16" s="24">
        <f>H11+H15</f>
        <v/>
      </c>
      <c r="I16" s="24">
        <f>I11+I15</f>
        <v/>
      </c>
      <c r="J16" s="24">
        <f>J11+J15</f>
        <v/>
      </c>
      <c r="K16" s="24">
        <f>K11+K15</f>
        <v/>
      </c>
    </row>
    <row r="18" ht="15" customHeight="1">
      <c r="B18" s="14" t="inlineStr">
        <is>
          <t xml:space="preserve">  2.  COST OF EQUITY — CAPM</t>
        </is>
      </c>
    </row>
    <row r="19">
      <c r="B19" s="18" t="inlineStr">
        <is>
          <t>Risk-Free Rate (%)</t>
        </is>
      </c>
      <c r="C19" s="20" t="n">
        <v>0.043</v>
      </c>
    </row>
    <row r="20">
      <c r="B20" s="18" t="inlineStr">
        <is>
          <t>Equity Risk Premium / MRP (%)</t>
        </is>
      </c>
      <c r="C20" s="20" t="n">
        <v>0.055</v>
      </c>
    </row>
    <row r="21">
      <c r="B21" s="18" t="inlineStr">
        <is>
          <t>Levered Beta</t>
        </is>
      </c>
      <c r="C21" s="25" t="n">
        <v>1.02</v>
      </c>
    </row>
    <row r="22">
      <c r="B22" s="15" t="inlineStr">
        <is>
          <t>Cost of Equity — CAPM  [Rf + β × MRP]</t>
        </is>
      </c>
      <c r="C22" s="26">
        <f>C19+C21*C20</f>
        <v/>
      </c>
    </row>
    <row r="24" ht="15" customHeight="1">
      <c r="B24" s="14" t="inlineStr">
        <is>
          <t xml:space="preserve">  3.  RESIDUAL INCOME  [NI − (Ke × Opening BV)]</t>
        </is>
      </c>
    </row>
    <row r="25">
      <c r="B25" s="18" t="inlineStr">
        <is>
          <t>Net Income ($mm)</t>
        </is>
      </c>
      <c r="C25" s="27">
        <f>C9</f>
        <v/>
      </c>
      <c r="D25" s="27">
        <f>D9</f>
        <v/>
      </c>
      <c r="E25" s="27">
        <f>E9</f>
        <v/>
      </c>
      <c r="F25" s="27">
        <f>F9</f>
        <v/>
      </c>
      <c r="G25" s="27">
        <f>G9</f>
        <v/>
      </c>
      <c r="H25" s="27">
        <f>H9</f>
        <v/>
      </c>
      <c r="I25" s="27">
        <f>I9</f>
        <v/>
      </c>
      <c r="J25" s="27">
        <f>J9</f>
        <v/>
      </c>
      <c r="K25" s="27">
        <f>K9</f>
        <v/>
      </c>
    </row>
    <row r="26">
      <c r="B26" s="18" t="inlineStr">
        <is>
          <t xml:space="preserve">  Less: Equity Charge  [Ke × Opening BV]</t>
        </is>
      </c>
      <c r="C26" s="17">
        <f>$C$22*C11</f>
        <v/>
      </c>
      <c r="D26" s="17">
        <f>$C$22*D11</f>
        <v/>
      </c>
      <c r="E26" s="17">
        <f>$C$22*E11</f>
        <v/>
      </c>
      <c r="F26" s="17">
        <f>$C$22*F11</f>
        <v/>
      </c>
      <c r="G26" s="17">
        <f>$C$22*G11</f>
        <v/>
      </c>
      <c r="H26" s="17">
        <f>$C$22*H11</f>
        <v/>
      </c>
      <c r="I26" s="17">
        <f>$C$22*I11</f>
        <v/>
      </c>
      <c r="J26" s="17">
        <f>$C$22*J11</f>
        <v/>
      </c>
      <c r="K26" s="17">
        <f>$C$22*K11</f>
        <v/>
      </c>
    </row>
    <row r="27">
      <c r="B27" s="15" t="inlineStr">
        <is>
          <t>Residual Income ($mm)</t>
        </is>
      </c>
      <c r="C27" s="28">
        <f>C25-C26</f>
        <v/>
      </c>
      <c r="D27" s="28">
        <f>D25-D26</f>
        <v/>
      </c>
      <c r="E27" s="28">
        <f>E25-E26</f>
        <v/>
      </c>
      <c r="F27" s="28">
        <f>F25-F26</f>
        <v/>
      </c>
      <c r="G27" s="28">
        <f>G25-G26</f>
        <v/>
      </c>
      <c r="H27" s="28">
        <f>H25-H26</f>
        <v/>
      </c>
      <c r="I27" s="28">
        <f>I25-I26</f>
        <v/>
      </c>
      <c r="J27" s="28">
        <f>J25-J26</f>
        <v/>
      </c>
      <c r="K27" s="28">
        <f>K25-K26</f>
        <v/>
      </c>
    </row>
    <row r="29" ht="15" customHeight="1">
      <c r="B29" s="14" t="inlineStr">
        <is>
          <t xml:space="preserve">  4.  TERMINAL VALUE</t>
        </is>
      </c>
    </row>
    <row r="30">
      <c r="B30" s="18" t="inlineStr">
        <is>
          <t>Terminal Growth Rate — g (%)</t>
        </is>
      </c>
      <c r="C30" s="20" t="n">
        <v>0.025</v>
      </c>
    </row>
    <row r="31">
      <c r="B31" s="18" t="inlineStr">
        <is>
          <t>Terminal Year RI ($mm)  [= Year 6 RI]</t>
        </is>
      </c>
      <c r="C31" s="27">
        <f>K27</f>
        <v/>
      </c>
    </row>
    <row r="32">
      <c r="B32" s="15" t="inlineStr">
        <is>
          <t>Terminal Value — Gordon Growth Model ($mm)</t>
        </is>
      </c>
      <c r="C32" s="28">
        <f>C31*(1+C30)/(C22-C30)</f>
        <v/>
      </c>
    </row>
    <row r="34" ht="15" customHeight="1">
      <c r="B34" s="14" t="inlineStr">
        <is>
          <t xml:space="preserve">  5.  PRESENT VALUE — PROJECTED RESIDUAL INCOME</t>
        </is>
      </c>
    </row>
    <row r="35">
      <c r="B35" s="18" t="inlineStr">
        <is>
          <t>Discount Period  (mid-year convention)</t>
        </is>
      </c>
      <c r="F35" s="29" t="n">
        <v>0.5</v>
      </c>
      <c r="G35" s="29" t="n">
        <v>1.5</v>
      </c>
      <c r="H35" s="29" t="n">
        <v>2.5</v>
      </c>
      <c r="I35" s="29" t="n">
        <v>3.5</v>
      </c>
      <c r="J35" s="29" t="n">
        <v>4.5</v>
      </c>
      <c r="K35" s="29" t="n">
        <v>5.5</v>
      </c>
    </row>
    <row r="36">
      <c r="B36" s="18" t="inlineStr">
        <is>
          <t>Discount Factor  [1/(1+Ke)^t]</t>
        </is>
      </c>
      <c r="F36" s="30">
        <f>1/(1+$C$22)^F35</f>
        <v/>
      </c>
      <c r="G36" s="30">
        <f>1/(1+$C$22)^G35</f>
        <v/>
      </c>
      <c r="H36" s="30">
        <f>1/(1+$C$22)^H35</f>
        <v/>
      </c>
      <c r="I36" s="30">
        <f>1/(1+$C$22)^I35</f>
        <v/>
      </c>
      <c r="J36" s="30">
        <f>1/(1+$C$22)^J35</f>
        <v/>
      </c>
      <c r="K36" s="30">
        <f>1/(1+$C$22)^K35</f>
        <v/>
      </c>
    </row>
    <row r="37">
      <c r="B37" s="15" t="inlineStr">
        <is>
          <t>Present Value of RI ($mm)</t>
        </is>
      </c>
      <c r="F37" s="24">
        <f>F27*F36</f>
        <v/>
      </c>
      <c r="G37" s="24">
        <f>G27*G36</f>
        <v/>
      </c>
      <c r="H37" s="24">
        <f>H27*H36</f>
        <v/>
      </c>
      <c r="I37" s="24">
        <f>I27*I36</f>
        <v/>
      </c>
      <c r="J37" s="24">
        <f>J27*J36</f>
        <v/>
      </c>
      <c r="K37" s="24">
        <f>K27*K36</f>
        <v/>
      </c>
    </row>
    <row r="39" ht="15" customHeight="1">
      <c r="B39" s="14" t="inlineStr">
        <is>
          <t xml:space="preserve">  6.  BOOK VALUE → INTRINSIC EQUITY VALUE</t>
        </is>
      </c>
    </row>
    <row r="40">
      <c r="B40" s="15" t="inlineStr">
        <is>
          <t>Starting Book Value — latest ($mm)</t>
        </is>
      </c>
      <c r="C40" s="31">
        <f>E16</f>
        <v/>
      </c>
    </row>
    <row r="41">
      <c r="B41" s="18" t="inlineStr">
        <is>
          <t>Sum of PV(RI) — Years 1–6 ($mm)</t>
        </is>
      </c>
      <c r="C41" s="32">
        <f>SUM(F37:K37)</f>
        <v/>
      </c>
    </row>
    <row r="42">
      <c r="B42" s="18" t="inlineStr">
        <is>
          <t>PV of Terminal Value ($mm)</t>
        </is>
      </c>
      <c r="C42" s="23">
        <f>C32/(1+C22)^6</f>
        <v/>
      </c>
    </row>
    <row r="43">
      <c r="B43" s="15" t="inlineStr">
        <is>
          <t>Intrinsic Equity Value ($mm)</t>
        </is>
      </c>
      <c r="C43" s="33">
        <f>C40+C41+C42</f>
        <v/>
      </c>
    </row>
    <row r="44">
      <c r="B44" s="18" t="inlineStr">
        <is>
          <t>Diluted Shares Outstanding (mm)</t>
        </is>
      </c>
      <c r="C44" s="34" t="n">
        <v>2680</v>
      </c>
    </row>
    <row r="45">
      <c r="B45" s="15" t="inlineStr">
        <is>
          <t>IMPLIED SHARE PRICE ($)</t>
        </is>
      </c>
      <c r="C45" s="35">
        <f>C43/C44</f>
        <v/>
      </c>
    </row>
    <row r="46">
      <c r="B46" s="18" t="inlineStr">
        <is>
          <t xml:space="preserve">  Implied P/B Ratio</t>
        </is>
      </c>
      <c r="C46" s="36">
        <f>C43/C40</f>
        <v/>
      </c>
    </row>
    <row r="48" ht="15" customHeight="1">
      <c r="B48" s="14" t="inlineStr">
        <is>
          <t xml:space="preserve">  7.  SENSITIVITY ANALYSIS — IMPLIED SHARE PRICE ($)</t>
        </is>
      </c>
    </row>
    <row r="49">
      <c r="B49" s="37" t="inlineStr">
        <is>
          <t>Ke  →</t>
        </is>
      </c>
      <c r="C49" s="38" t="n">
        <v>0.079</v>
      </c>
      <c r="D49" s="38" t="n">
        <v>0.089</v>
      </c>
      <c r="E49" s="38" t="n">
        <v>0.099</v>
      </c>
      <c r="F49" s="38" t="n">
        <v>0.109</v>
      </c>
      <c r="G49" s="38" t="n">
        <v>0.119</v>
      </c>
    </row>
    <row r="50">
      <c r="B50" s="38" t="n">
        <v>0.015</v>
      </c>
      <c r="C50" s="39">
        <f>(E16+((F25-0.079*F11)/(1+0.079)^0.5+(G25-0.079*G11)/(1+0.079)^1.5+(H25-0.079*H11)/(1+0.079)^2.5+(I25-0.079*I11)/(1+0.079)^3.5+(J25-0.079*J11)/(1+0.079)^4.5+(K25-0.079*K11)/(1+0.079)^5.5)+((K25-0.079*K11)*(1+0.015)/(0.079-0.015))/(1+0.079)^6)/C44</f>
        <v/>
      </c>
      <c r="D50" s="39">
        <f>(E16+((F25-0.089*F11)/(1+0.089)^0.5+(G25-0.089*G11)/(1+0.089)^1.5+(H25-0.089*H11)/(1+0.089)^2.5+(I25-0.089*I11)/(1+0.089)^3.5+(J25-0.089*J11)/(1+0.089)^4.5+(K25-0.089*K11)/(1+0.089)^5.5)+((K25-0.089*K11)*(1+0.015)/(0.089-0.015))/(1+0.089)^6)/C44</f>
        <v/>
      </c>
      <c r="E50" s="39">
        <f>(E16+((F25-0.099*F11)/(1+0.099)^0.5+(G25-0.099*G11)/(1+0.099)^1.5+(H25-0.099*H11)/(1+0.099)^2.5+(I25-0.099*I11)/(1+0.099)^3.5+(J25-0.099*J11)/(1+0.099)^4.5+(K25-0.099*K11)/(1+0.099)^5.5)+((K25-0.099*K11)*(1+0.015)/(0.099-0.015))/(1+0.099)^6)/C44</f>
        <v/>
      </c>
      <c r="F50" s="39">
        <f>(E16+((F25-0.109*F11)/(1+0.109)^0.5+(G25-0.109*G11)/(1+0.109)^1.5+(H25-0.109*H11)/(1+0.109)^2.5+(I25-0.109*I11)/(1+0.109)^3.5+(J25-0.109*J11)/(1+0.109)^4.5+(K25-0.109*K11)/(1+0.109)^5.5)+((K25-0.109*K11)*(1+0.015)/(0.109-0.015))/(1+0.109)^6)/C44</f>
        <v/>
      </c>
      <c r="G50" s="39">
        <f>(E16+((F25-0.119*F11)/(1+0.119)^0.5+(G25-0.119*G11)/(1+0.119)^1.5+(H25-0.119*H11)/(1+0.119)^2.5+(I25-0.119*I11)/(1+0.119)^3.5+(J25-0.119*J11)/(1+0.119)^4.5+(K25-0.119*K11)/(1+0.119)^5.5)+((K25-0.119*K11)*(1+0.015)/(0.119-0.015))/(1+0.119)^6)/C44</f>
        <v/>
      </c>
    </row>
    <row r="51">
      <c r="B51" s="38" t="n">
        <v>0.02</v>
      </c>
      <c r="C51" s="40">
        <f>(E16+((F25-0.079*F11)/(1+0.079)^0.5+(G25-0.079*G11)/(1+0.079)^1.5+(H25-0.079*H11)/(1+0.079)^2.5+(I25-0.079*I11)/(1+0.079)^3.5+(J25-0.079*J11)/(1+0.079)^4.5+(K25-0.079*K11)/(1+0.079)^5.5)+((K25-0.079*K11)*(1+0.02)/(0.079-0.02))/(1+0.079)^6)/C44</f>
        <v/>
      </c>
      <c r="D51" s="40">
        <f>(E16+((F25-0.089*F11)/(1+0.089)^0.5+(G25-0.089*G11)/(1+0.089)^1.5+(H25-0.089*H11)/(1+0.089)^2.5+(I25-0.089*I11)/(1+0.089)^3.5+(J25-0.089*J11)/(1+0.089)^4.5+(K25-0.089*K11)/(1+0.089)^5.5)+((K25-0.089*K11)*(1+0.02)/(0.089-0.02))/(1+0.089)^6)/C44</f>
        <v/>
      </c>
      <c r="E51" s="40">
        <f>(E16+((F25-0.099*F11)/(1+0.099)^0.5+(G25-0.099*G11)/(1+0.099)^1.5+(H25-0.099*H11)/(1+0.099)^2.5+(I25-0.099*I11)/(1+0.099)^3.5+(J25-0.099*J11)/(1+0.099)^4.5+(K25-0.099*K11)/(1+0.099)^5.5)+((K25-0.099*K11)*(1+0.02)/(0.099-0.02))/(1+0.099)^6)/C44</f>
        <v/>
      </c>
      <c r="F51" s="40">
        <f>(E16+((F25-0.109*F11)/(1+0.109)^0.5+(G25-0.109*G11)/(1+0.109)^1.5+(H25-0.109*H11)/(1+0.109)^2.5+(I25-0.109*I11)/(1+0.109)^3.5+(J25-0.109*J11)/(1+0.109)^4.5+(K25-0.109*K11)/(1+0.109)^5.5)+((K25-0.109*K11)*(1+0.02)/(0.109-0.02))/(1+0.109)^6)/C44</f>
        <v/>
      </c>
      <c r="G51" s="40">
        <f>(E16+((F25-0.119*F11)/(1+0.119)^0.5+(G25-0.119*G11)/(1+0.119)^1.5+(H25-0.119*H11)/(1+0.119)^2.5+(I25-0.119*I11)/(1+0.119)^3.5+(J25-0.119*J11)/(1+0.119)^4.5+(K25-0.119*K11)/(1+0.119)^5.5)+((K25-0.119*K11)*(1+0.02)/(0.119-0.02))/(1+0.119)^6)/C44</f>
        <v/>
      </c>
    </row>
    <row r="52">
      <c r="B52" s="38" t="n">
        <v>0.025</v>
      </c>
      <c r="C52" s="39">
        <f>(E16+((F25-0.079*F11)/(1+0.079)^0.5+(G25-0.079*G11)/(1+0.079)^1.5+(H25-0.079*H11)/(1+0.079)^2.5+(I25-0.079*I11)/(1+0.079)^3.5+(J25-0.079*J11)/(1+0.079)^4.5+(K25-0.079*K11)/(1+0.079)^5.5)+((K25-0.079*K11)*(1+0.025)/(0.079-0.025))/(1+0.079)^6)/C44</f>
        <v/>
      </c>
      <c r="D52" s="39">
        <f>(E16+((F25-0.089*F11)/(1+0.089)^0.5+(G25-0.089*G11)/(1+0.089)^1.5+(H25-0.089*H11)/(1+0.089)^2.5+(I25-0.089*I11)/(1+0.089)^3.5+(J25-0.089*J11)/(1+0.089)^4.5+(K25-0.089*K11)/(1+0.089)^5.5)+((K25-0.089*K11)*(1+0.025)/(0.089-0.025))/(1+0.089)^6)/C44</f>
        <v/>
      </c>
      <c r="E52" s="41">
        <f>(E16+((F25-0.099*F11)/(1+0.099)^0.5+(G25-0.099*G11)/(1+0.099)^1.5+(H25-0.099*H11)/(1+0.099)^2.5+(I25-0.099*I11)/(1+0.099)^3.5+(J25-0.099*J11)/(1+0.099)^4.5+(K25-0.099*K11)/(1+0.099)^5.5)+((K25-0.099*K11)*(1+0.025)/(0.099-0.025))/(1+0.099)^6)/C44</f>
        <v/>
      </c>
      <c r="F52" s="39">
        <f>(E16+((F25-0.109*F11)/(1+0.109)^0.5+(G25-0.109*G11)/(1+0.109)^1.5+(H25-0.109*H11)/(1+0.109)^2.5+(I25-0.109*I11)/(1+0.109)^3.5+(J25-0.109*J11)/(1+0.109)^4.5+(K25-0.109*K11)/(1+0.109)^5.5)+((K25-0.109*K11)*(1+0.025)/(0.109-0.025))/(1+0.109)^6)/C44</f>
        <v/>
      </c>
      <c r="G52" s="39">
        <f>(E16+((F25-0.119*F11)/(1+0.119)^0.5+(G25-0.119*G11)/(1+0.119)^1.5+(H25-0.119*H11)/(1+0.119)^2.5+(I25-0.119*I11)/(1+0.119)^3.5+(J25-0.119*J11)/(1+0.119)^4.5+(K25-0.119*K11)/(1+0.119)^5.5)+((K25-0.119*K11)*(1+0.025)/(0.119-0.025))/(1+0.119)^6)/C44</f>
        <v/>
      </c>
    </row>
    <row r="53">
      <c r="B53" s="38" t="n">
        <v>0.03</v>
      </c>
      <c r="C53" s="40">
        <f>(E16+((F25-0.079*F11)/(1+0.079)^0.5+(G25-0.079*G11)/(1+0.079)^1.5+(H25-0.079*H11)/(1+0.079)^2.5+(I25-0.079*I11)/(1+0.079)^3.5+(J25-0.079*J11)/(1+0.079)^4.5+(K25-0.079*K11)/(1+0.079)^5.5)+((K25-0.079*K11)*(1+0.03)/(0.079-0.03))/(1+0.079)^6)/C44</f>
        <v/>
      </c>
      <c r="D53" s="40">
        <f>(E16+((F25-0.089*F11)/(1+0.089)^0.5+(G25-0.089*G11)/(1+0.089)^1.5+(H25-0.089*H11)/(1+0.089)^2.5+(I25-0.089*I11)/(1+0.089)^3.5+(J25-0.089*J11)/(1+0.089)^4.5+(K25-0.089*K11)/(1+0.089)^5.5)+((K25-0.089*K11)*(1+0.03)/(0.089-0.03))/(1+0.089)^6)/C44</f>
        <v/>
      </c>
      <c r="E53" s="40">
        <f>(E16+((F25-0.099*F11)/(1+0.099)^0.5+(G25-0.099*G11)/(1+0.099)^1.5+(H25-0.099*H11)/(1+0.099)^2.5+(I25-0.099*I11)/(1+0.099)^3.5+(J25-0.099*J11)/(1+0.099)^4.5+(K25-0.099*K11)/(1+0.099)^5.5)+((K25-0.099*K11)*(1+0.03)/(0.099-0.03))/(1+0.099)^6)/C44</f>
        <v/>
      </c>
      <c r="F53" s="40">
        <f>(E16+((F25-0.109*F11)/(1+0.109)^0.5+(G25-0.109*G11)/(1+0.109)^1.5+(H25-0.109*H11)/(1+0.109)^2.5+(I25-0.109*I11)/(1+0.109)^3.5+(J25-0.109*J11)/(1+0.109)^4.5+(K25-0.109*K11)/(1+0.109)^5.5)+((K25-0.109*K11)*(1+0.03)/(0.109-0.03))/(1+0.109)^6)/C44</f>
        <v/>
      </c>
      <c r="G53" s="40">
        <f>(E16+((F25-0.119*F11)/(1+0.119)^0.5+(G25-0.119*G11)/(1+0.119)^1.5+(H25-0.119*H11)/(1+0.119)^2.5+(I25-0.119*I11)/(1+0.119)^3.5+(J25-0.119*J11)/(1+0.119)^4.5+(K25-0.119*K11)/(1+0.119)^5.5)+((K25-0.119*K11)*(1+0.03)/(0.119-0.03))/(1+0.119)^6)/C44</f>
        <v/>
      </c>
    </row>
    <row r="54">
      <c r="B54" s="38" t="n">
        <v>0.035</v>
      </c>
      <c r="C54" s="39">
        <f>(E16+((F25-0.079*F11)/(1+0.079)^0.5+(G25-0.079*G11)/(1+0.079)^1.5+(H25-0.079*H11)/(1+0.079)^2.5+(I25-0.079*I11)/(1+0.079)^3.5+(J25-0.079*J11)/(1+0.079)^4.5+(K25-0.079*K11)/(1+0.079)^5.5)+((K25-0.079*K11)*(1+0.035)/(0.079-0.035))/(1+0.079)^6)/C44</f>
        <v/>
      </c>
      <c r="D54" s="39">
        <f>(E16+((F25-0.089*F11)/(1+0.089)^0.5+(G25-0.089*G11)/(1+0.089)^1.5+(H25-0.089*H11)/(1+0.089)^2.5+(I25-0.089*I11)/(1+0.089)^3.5+(J25-0.089*J11)/(1+0.089)^4.5+(K25-0.089*K11)/(1+0.089)^5.5)+((K25-0.089*K11)*(1+0.035)/(0.089-0.035))/(1+0.089)^6)/C44</f>
        <v/>
      </c>
      <c r="E54" s="39">
        <f>(E16+((F25-0.099*F11)/(1+0.099)^0.5+(G25-0.099*G11)/(1+0.099)^1.5+(H25-0.099*H11)/(1+0.099)^2.5+(I25-0.099*I11)/(1+0.099)^3.5+(J25-0.099*J11)/(1+0.099)^4.5+(K25-0.099*K11)/(1+0.099)^5.5)+((K25-0.099*K11)*(1+0.035)/(0.099-0.035))/(1+0.099)^6)/C44</f>
        <v/>
      </c>
      <c r="F54" s="39">
        <f>(E16+((F25-0.109*F11)/(1+0.109)^0.5+(G25-0.109*G11)/(1+0.109)^1.5+(H25-0.109*H11)/(1+0.109)^2.5+(I25-0.109*I11)/(1+0.109)^3.5+(J25-0.109*J11)/(1+0.109)^4.5+(K25-0.109*K11)/(1+0.109)^5.5)+((K25-0.109*K11)*(1+0.035)/(0.109-0.035))/(1+0.109)^6)/C44</f>
        <v/>
      </c>
      <c r="G54" s="39">
        <f>(E16+((F25-0.119*F11)/(1+0.119)^0.5+(G25-0.119*G11)/(1+0.119)^1.5+(H25-0.119*H11)/(1+0.119)^2.5+(I25-0.119*I11)/(1+0.119)^3.5+(J25-0.119*J11)/(1+0.119)^4.5+(K25-0.119*K11)/(1+0.119)^5.5)+((K25-0.119*K11)*(1+0.035)/(0.119-0.035))/(1+0.119)^6)/C44</f>
        <v/>
      </c>
    </row>
    <row r="57" ht="15" customHeight="1">
      <c r="B57" s="42" t="inlineStr">
        <is>
          <t xml:space="preserve">  COLOUR LEGEND</t>
        </is>
      </c>
    </row>
    <row r="58">
      <c r="B58" s="43" t="inlineStr">
        <is>
          <t>Historical Hardcoded Input</t>
        </is>
      </c>
      <c r="D58" s="44" t="inlineStr">
        <is>
          <t>Blue text, white background — sourced from actual financials</t>
        </is>
      </c>
    </row>
    <row r="59">
      <c r="B59" s="45" t="inlineStr">
        <is>
          <t>Projected Assumption / Driver</t>
        </is>
      </c>
      <c r="D59" s="44" t="inlineStr">
        <is>
          <t>Blue text, yellow background — user-adjustable</t>
        </is>
      </c>
    </row>
    <row r="60">
      <c r="B60" s="46" t="inlineStr">
        <is>
          <t>Formula / Calculation</t>
        </is>
      </c>
      <c r="D60" s="44" t="inlineStr">
        <is>
          <t>Black text — do not edit directly</t>
        </is>
      </c>
    </row>
    <row r="61">
      <c r="B61" s="47" t="inlineStr">
        <is>
          <t>Cross-Sheet Link</t>
        </is>
      </c>
      <c r="D61" s="44" t="inlineStr">
        <is>
          <t>Green text — pulls from another section</t>
        </is>
      </c>
    </row>
    <row r="62">
      <c r="B62" s="48" t="inlineStr">
        <is>
          <t>Subtotal</t>
        </is>
      </c>
      <c r="D62" s="44" t="inlineStr">
        <is>
          <t>Light blue fill — intermediate total</t>
        </is>
      </c>
    </row>
    <row r="63">
      <c r="B63" s="49" t="inlineStr">
        <is>
          <t>Key Output / Total</t>
        </is>
      </c>
      <c r="D63" s="44" t="inlineStr">
        <is>
          <t>Blue fill — primary line total</t>
        </is>
      </c>
    </row>
    <row r="64">
      <c r="B64" s="50" t="inlineStr">
        <is>
          <t>Equity Value / Price Output</t>
        </is>
      </c>
      <c r="D64" s="44" t="inlineStr">
        <is>
          <t>Green fill — final valuation output</t>
        </is>
      </c>
    </row>
    <row r="65">
      <c r="B65" s="51" t="inlineStr">
        <is>
          <t>Sensitivity Base Case</t>
        </is>
      </c>
      <c r="D65" s="44" t="inlineStr">
        <is>
          <t>Yellow fill — base case in sensitivity table</t>
        </is>
      </c>
    </row>
    <row r="67" ht="15" customHeight="1">
      <c r="B67" s="14" t="inlineStr">
        <is>
          <t xml:space="preserve">  METHODOLOGY NOTE — WHY RESIDUAL INCOME FOR BANKS</t>
        </is>
      </c>
    </row>
    <row r="68" ht="18" customHeight="1">
      <c r="B68" s="52" t="inlineStr">
        <is>
          <t>Why not DCF?</t>
        </is>
      </c>
      <c r="C68" s="53" t="inlineStr">
        <is>
          <t>Standard DCF values a firm by projecting Unlevered Free Cash Flow (UFCF) &amp; discounting at WACC. UFCF = EBIT × (1-t) + D&amp;A − CapEx − ΔNWC. Banks do not report EBIT or CapEx in a comparable way — their income statement is Net Interest Income + Non-Interest Income less Operating Expenses &amp; Provisions. There is no 'operating vs financing' split because financing IS the operating activity. Applying DCF to a bank produces a meaningless number.</t>
        </is>
      </c>
    </row>
    <row r="69" ht="30" customHeight="1"/>
    <row r="71" ht="18" customHeight="1">
      <c r="B71" s="52" t="inlineStr">
        <is>
          <t>Why not net debt?</t>
        </is>
      </c>
      <c r="C71" s="53" t="inlineStr">
        <is>
          <t>Enterprise Value = Market Cap + Net Debt. For banks, deposits (the primary liability) are operating, not financing — they fund loans, which are the main asset. Subtracting 'net debt' from a bank's implied enterprise value would double-count. EV/EBITDA &amp; EV/Revenue multiples are therefore not used for banks.</t>
        </is>
      </c>
    </row>
    <row r="72" ht="30" customHeight="1"/>
    <row r="74" ht="18" customHeight="1">
      <c r="B74" s="52" t="inlineStr">
        <is>
          <t>What Residual Income does instead</t>
        </is>
      </c>
      <c r="C74" s="53" t="inlineStr">
        <is>
          <t>RI values the firm as: Book Value + Σ PV(future economic profit), where economic profit = Net Income − (Cost of Equity × Opening Book Value). This asks: is the bank earning more on its equity than shareholders require? If ROE &gt; Ke, the bank creates value above book (P/B &gt; 1). If ROE &lt; Ke, the bank trades below book. This framework is standard for financial institutions &amp; aligns with how sell-side research &amp; institutional investors value banks in practice.</t>
        </is>
      </c>
    </row>
    <row r="75" ht="30" customHeight="1"/>
    <row r="77" ht="18" customHeight="1">
      <c r="B77" s="52" t="inlineStr">
        <is>
          <t>Sanity cross-check</t>
        </is>
      </c>
      <c r="C77" s="53" t="inlineStr">
        <is>
          <t>Two external benchmarks for RI output: (1) Implied P/B should be close to peer median P/B × (subject ROE / peer median ROE). (2) If projected ROE equals Ke exactly, RI = 0 &amp; the model collapses to book value — a useful degenerate case. Always cross-check the RI output against the Comps sheet P/B-implied price.</t>
        </is>
      </c>
    </row>
    <row r="78" ht="30" customHeight="1"/>
  </sheetData>
  <mergeCells count="16">
    <mergeCell ref="B67:K67"/>
    <mergeCell ref="C74:K75"/>
    <mergeCell ref="F5:K5"/>
    <mergeCell ref="C68:K69"/>
    <mergeCell ref="B1:K1"/>
    <mergeCell ref="B8:K8"/>
    <mergeCell ref="C5:E5"/>
    <mergeCell ref="B57:K57"/>
    <mergeCell ref="B18:K18"/>
    <mergeCell ref="B29:K29"/>
    <mergeCell ref="B39:K39"/>
    <mergeCell ref="B24:K24"/>
    <mergeCell ref="B48:K48"/>
    <mergeCell ref="B34:K34"/>
    <mergeCell ref="C71:K72"/>
    <mergeCell ref="C77:K7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3" customWidth="1" min="5" max="5"/>
    <col width="13" customWidth="1" min="6" max="6"/>
    <col width="12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</cols>
  <sheetData>
    <row r="1" ht="15" customHeight="1">
      <c r="B1" s="6" t="inlineStr">
        <is>
          <t>INTRINSIC  |  Comparable Company Analysis  (Financial Sector Multiples)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TRADING MULTIPLES — FINANCIAL SECTOR</t>
        </is>
      </c>
    </row>
    <row r="4" ht="28" customHeight="1">
      <c r="B4" s="54" t="inlineStr">
        <is>
          <t>Company</t>
        </is>
      </c>
      <c r="C4" s="54" t="inlineStr">
        <is>
          <t>Ticker</t>
        </is>
      </c>
      <c r="D4" s="54" t="inlineStr">
        <is>
          <t>Mkt Cap
($mm)</t>
        </is>
      </c>
      <c r="E4" s="54" t="inlineStr">
        <is>
          <t>Book Value
($mm)</t>
        </is>
      </c>
      <c r="F4" s="54" t="inlineStr">
        <is>
          <t>Tangible
Book ($mm)</t>
        </is>
      </c>
      <c r="G4" s="54" t="inlineStr">
        <is>
          <t>Net Income
LTM ($mm)</t>
        </is>
      </c>
      <c r="H4" s="54" t="inlineStr">
        <is>
          <t>P / B</t>
        </is>
      </c>
      <c r="I4" s="54" t="inlineStr">
        <is>
          <t>P / TBV</t>
        </is>
      </c>
      <c r="J4" s="54" t="inlineStr">
        <is>
          <t>P/E
NTM</t>
        </is>
      </c>
      <c r="K4" s="54" t="inlineStr">
        <is>
          <t>ROE</t>
        </is>
      </c>
      <c r="L4" s="54" t="inlineStr">
        <is>
          <t>ROTCE</t>
        </is>
      </c>
      <c r="M4" s="54" t="inlineStr">
        <is>
          <t>NIM</t>
        </is>
      </c>
      <c r="N4" s="54" t="inlineStr">
        <is>
          <t>Div
Yield</t>
        </is>
      </c>
    </row>
    <row r="5">
      <c r="B5" s="55" t="inlineStr">
        <is>
          <t>Bank of America Corporation</t>
        </is>
      </c>
      <c r="C5" s="56" t="inlineStr">
        <is>
          <t>BAC</t>
        </is>
      </c>
      <c r="D5" s="57" t="n">
        <v>374345</v>
      </c>
      <c r="E5" s="57" t="n">
        <v>274383</v>
      </c>
      <c r="F5" s="57" t="n">
        <v>233226</v>
      </c>
      <c r="G5" s="57" t="n">
        <v>30256</v>
      </c>
      <c r="H5" s="58">
        <f>D5/E5</f>
        <v/>
      </c>
      <c r="I5" s="58">
        <f>D5/F5</f>
        <v/>
      </c>
      <c r="J5" s="59" t="n">
        <v>10.5</v>
      </c>
      <c r="K5" s="60" t="n">
        <v>0.1064</v>
      </c>
      <c r="L5" s="60" t="n">
        <v>0.1252</v>
      </c>
      <c r="M5" s="60" t="n">
        <v>0</v>
      </c>
      <c r="N5" s="60" t="n">
        <v>2.09</v>
      </c>
    </row>
    <row r="6">
      <c r="B6" s="61" t="inlineStr">
        <is>
          <t>Wells Fargo &amp; Company</t>
        </is>
      </c>
      <c r="C6" s="62" t="inlineStr">
        <is>
          <t>WFC</t>
        </is>
      </c>
      <c r="D6" s="63" t="n">
        <v>242245</v>
      </c>
      <c r="E6" s="63" t="n">
        <v>162784</v>
      </c>
      <c r="F6" s="63" t="n">
        <v>138366</v>
      </c>
      <c r="G6" s="63" t="n">
        <v>20669</v>
      </c>
      <c r="H6" s="64">
        <f>D6/E6</f>
        <v/>
      </c>
      <c r="I6" s="64">
        <f>D6/F6</f>
        <v/>
      </c>
      <c r="J6" s="65" t="n">
        <v>10.1</v>
      </c>
      <c r="K6" s="66" t="n">
        <v>0.1203</v>
      </c>
      <c r="L6" s="66" t="n">
        <v>0.1415</v>
      </c>
      <c r="M6" s="66" t="n">
        <v>0</v>
      </c>
      <c r="N6" s="66" t="n">
        <v>2.24</v>
      </c>
    </row>
    <row r="7">
      <c r="B7" s="55" t="inlineStr">
        <is>
          <t>Citigroup, Inc.</t>
        </is>
      </c>
      <c r="C7" s="56" t="inlineStr">
        <is>
          <t>C</t>
        </is>
      </c>
      <c r="D7" s="57" t="n">
        <v>225820</v>
      </c>
      <c r="E7" s="57" t="n">
        <v>191409</v>
      </c>
      <c r="F7" s="57" t="n">
        <v>162698</v>
      </c>
      <c r="G7" s="57" t="n">
        <v>14698</v>
      </c>
      <c r="H7" s="58">
        <f>D7/E7</f>
        <v/>
      </c>
      <c r="I7" s="58">
        <f>D7/F7</f>
        <v/>
      </c>
      <c r="J7" s="59" t="n">
        <v>10.4</v>
      </c>
      <c r="K7" s="60" t="n">
        <v>0.0765</v>
      </c>
      <c r="L7" s="60" t="n">
        <v>0.09</v>
      </c>
      <c r="M7" s="60" t="n">
        <v>0</v>
      </c>
      <c r="N7" s="60" t="n">
        <v>1.88</v>
      </c>
    </row>
    <row r="8">
      <c r="B8" s="14" t="inlineStr">
        <is>
          <t>Mean</t>
        </is>
      </c>
      <c r="D8" s="67">
        <f>AVERAGE(D5:D7)</f>
        <v/>
      </c>
      <c r="E8" s="67">
        <f>AVERAGE(E5:E7)</f>
        <v/>
      </c>
      <c r="F8" s="67">
        <f>AVERAGE(F5:F7)</f>
        <v/>
      </c>
      <c r="G8" s="67">
        <f>AVERAGE(G5:G7)</f>
        <v/>
      </c>
      <c r="H8" s="68">
        <f>AVERAGE(H5:H7)</f>
        <v/>
      </c>
      <c r="I8" s="68">
        <f>AVERAGE(I5:I7)</f>
        <v/>
      </c>
      <c r="J8" s="69">
        <f>AVERAGE(J5:J7)</f>
        <v/>
      </c>
      <c r="K8" s="70">
        <f>AVERAGE(K5:K7)</f>
        <v/>
      </c>
      <c r="L8" s="70">
        <f>AVERAGE(L5:L7)</f>
        <v/>
      </c>
      <c r="M8" s="70">
        <f>AVERAGE(M5:M7)</f>
        <v/>
      </c>
      <c r="N8" s="70">
        <f>AVERAGE(N5:N7)</f>
        <v/>
      </c>
    </row>
    <row r="9">
      <c r="B9" s="14" t="inlineStr">
        <is>
          <t>Median</t>
        </is>
      </c>
      <c r="D9" s="67">
        <f>MEDIAN(D5:D7)</f>
        <v/>
      </c>
      <c r="E9" s="67">
        <f>MEDIAN(E5:E7)</f>
        <v/>
      </c>
      <c r="F9" s="67">
        <f>MEDIAN(F5:F7)</f>
        <v/>
      </c>
      <c r="G9" s="67">
        <f>MEDIAN(G5:G7)</f>
        <v/>
      </c>
      <c r="H9" s="68">
        <f>MEDIAN(H5:H7)</f>
        <v/>
      </c>
      <c r="I9" s="68">
        <f>MEDIAN(I5:I7)</f>
        <v/>
      </c>
      <c r="J9" s="69">
        <f>MEDIAN(J5:J7)</f>
        <v/>
      </c>
      <c r="K9" s="70">
        <f>MEDIAN(K5:K7)</f>
        <v/>
      </c>
      <c r="L9" s="70">
        <f>MEDIAN(L5:L7)</f>
        <v/>
      </c>
      <c r="M9" s="70">
        <f>MEDIAN(M5:M7)</f>
        <v/>
      </c>
      <c r="N9" s="70">
        <f>MEDIAN(N5:N7)</f>
        <v/>
      </c>
    </row>
    <row r="10">
      <c r="B10" s="14" t="inlineStr">
        <is>
          <t>25th Percentile</t>
        </is>
      </c>
      <c r="D10" s="67">
        <f>QUARTILE(D5:D7,1)</f>
        <v/>
      </c>
      <c r="E10" s="67">
        <f>QUARTILE(E5:E7,1)</f>
        <v/>
      </c>
      <c r="F10" s="67">
        <f>QUARTILE(F5:F7,1)</f>
        <v/>
      </c>
      <c r="G10" s="67">
        <f>QUARTILE(G5:G7,1)</f>
        <v/>
      </c>
      <c r="H10" s="68">
        <f>QUARTILE(H5:H7,1)</f>
        <v/>
      </c>
      <c r="I10" s="68">
        <f>QUARTILE(I5:I7,1)</f>
        <v/>
      </c>
      <c r="J10" s="69">
        <f>QUARTILE(J5:J7,1)</f>
        <v/>
      </c>
      <c r="K10" s="70">
        <f>QUARTILE(K5:K7,1)</f>
        <v/>
      </c>
      <c r="L10" s="70">
        <f>QUARTILE(L5:L7,1)</f>
        <v/>
      </c>
      <c r="M10" s="70">
        <f>QUARTILE(M5:M7,1)</f>
        <v/>
      </c>
      <c r="N10" s="70">
        <f>QUARTILE(N5:N7,1)</f>
        <v/>
      </c>
    </row>
    <row r="11">
      <c r="B11" s="14" t="inlineStr">
        <is>
          <t>75th Percentile</t>
        </is>
      </c>
      <c r="D11" s="67">
        <f>QUARTILE(D5:D7,3)</f>
        <v/>
      </c>
      <c r="E11" s="67">
        <f>QUARTILE(E5:E7,3)</f>
        <v/>
      </c>
      <c r="F11" s="67">
        <f>QUARTILE(F5:F7,3)</f>
        <v/>
      </c>
      <c r="G11" s="67">
        <f>QUARTILE(G5:G7,3)</f>
        <v/>
      </c>
      <c r="H11" s="68">
        <f>QUARTILE(H5:H7,3)</f>
        <v/>
      </c>
      <c r="I11" s="68">
        <f>QUARTILE(I5:I7,3)</f>
        <v/>
      </c>
      <c r="J11" s="69">
        <f>QUARTILE(J5:J7,3)</f>
        <v/>
      </c>
      <c r="K11" s="70">
        <f>QUARTILE(K5:K7,3)</f>
        <v/>
      </c>
      <c r="L11" s="70">
        <f>QUARTILE(L5:L7,3)</f>
        <v/>
      </c>
      <c r="M11" s="70">
        <f>QUARTILE(M5:M7,3)</f>
        <v/>
      </c>
      <c r="N11" s="70">
        <f>QUARTILE(N5:N7,3)</f>
        <v/>
      </c>
    </row>
    <row r="13" ht="15" customHeight="1">
      <c r="B13" s="14" t="inlineStr">
        <is>
          <t xml:space="preserve">  IMPLIED VALUATION FROM COMPS</t>
        </is>
      </c>
    </row>
    <row r="14" ht="28" customHeight="1">
      <c r="B14" s="71" t="inlineStr">
        <is>
          <t>Metric</t>
        </is>
      </c>
      <c r="C14" s="71" t="inlineStr">
        <is>
          <t>Subject
($mm)</t>
        </is>
      </c>
      <c r="D14" s="71" t="inlineStr">
        <is>
          <t>Median
Multiple</t>
        </is>
      </c>
      <c r="E14" s="71" t="inlineStr">
        <is>
          <t>Implied Mkt
Cap ($mm)</t>
        </is>
      </c>
      <c r="F14" s="71" t="inlineStr">
        <is>
          <t>Shares
(mm)</t>
        </is>
      </c>
      <c r="G14" s="71" t="inlineStr">
        <is>
          <t>Implied Price
($)</t>
        </is>
      </c>
    </row>
    <row r="15">
      <c r="B15" s="61" t="inlineStr">
        <is>
          <t>P / B</t>
        </is>
      </c>
      <c r="C15" s="63" t="n">
        <v>128.379</v>
      </c>
      <c r="D15" s="72">
        <f>H9</f>
        <v/>
      </c>
      <c r="E15" s="73">
        <f>C15*D15</f>
        <v/>
      </c>
      <c r="F15" s="63" t="n">
        <v>2680</v>
      </c>
      <c r="G15" s="74">
        <f>E15/F15</f>
        <v/>
      </c>
    </row>
    <row r="16">
      <c r="B16" s="55" t="inlineStr">
        <is>
          <t>P / TBV</t>
        </is>
      </c>
      <c r="C16" s="57" t="n">
        <v>128.379</v>
      </c>
      <c r="D16" s="75">
        <f>I9</f>
        <v/>
      </c>
      <c r="E16" s="76">
        <f>C16*D16</f>
        <v/>
      </c>
      <c r="F16" s="57" t="n">
        <v>2680</v>
      </c>
      <c r="G16" s="74">
        <f>E16/F16</f>
        <v/>
      </c>
    </row>
    <row r="17">
      <c r="B17" s="61" t="inlineStr">
        <is>
          <t>P / E</t>
        </is>
      </c>
      <c r="C17" s="63" t="n">
        <v>57512.001536</v>
      </c>
      <c r="D17" s="72">
        <f>J9</f>
        <v/>
      </c>
      <c r="E17" s="73">
        <f>C17*D17</f>
        <v/>
      </c>
      <c r="F17" s="63" t="n">
        <v>2680</v>
      </c>
      <c r="G17" s="74">
        <f>E17/F17</f>
        <v/>
      </c>
    </row>
    <row r="19" ht="15" customHeight="1">
      <c r="B19" s="14" t="inlineStr">
        <is>
          <t xml:space="preserve">  FOOTBALL FIELD — VALUATION RANGE SUMMARY</t>
        </is>
      </c>
    </row>
    <row r="20">
      <c r="B20" s="77" t="inlineStr">
        <is>
          <t>Methodology</t>
        </is>
      </c>
      <c r="C20" s="77" t="inlineStr">
        <is>
          <t>Low ($)</t>
        </is>
      </c>
      <c r="D20" s="77" t="inlineStr">
        <is>
          <t>Mid ($)</t>
        </is>
      </c>
      <c r="E20" s="77" t="inlineStr">
        <is>
          <t>High ($)</t>
        </is>
      </c>
      <c r="F20" s="77" t="inlineStr">
        <is>
          <t>Notes</t>
        </is>
      </c>
    </row>
    <row r="21">
      <c r="B21" s="55" t="inlineStr">
        <is>
          <t>Residual Income — Sensitivity Range (Ke × g)</t>
        </is>
      </c>
      <c r="C21" s="78">
        <f>MIN('Residual Income'!C50:G54)</f>
        <v/>
      </c>
      <c r="D21" s="78">
        <f>'Residual Income'!E52</f>
        <v/>
      </c>
      <c r="E21" s="78">
        <f>MAX('Residual Income'!C50:G54)</f>
        <v/>
      </c>
      <c r="F21" s="55" t="inlineStr">
        <is>
          <t>From Valuation sheet sensitivity grid</t>
        </is>
      </c>
    </row>
    <row r="22">
      <c r="B22" s="61" t="inlineStr">
        <is>
          <t>P / B Comps (peer median)</t>
        </is>
      </c>
      <c r="C22" s="79">
        <f>G15*0.85</f>
        <v/>
      </c>
      <c r="D22" s="79">
        <f>G15</f>
        <v/>
      </c>
      <c r="E22" s="79">
        <f>G15*1.15</f>
        <v/>
      </c>
      <c r="F22" s="61" t="inlineStr">
        <is>
          <t>Median applied to BV</t>
        </is>
      </c>
    </row>
    <row r="23">
      <c r="B23" s="55" t="inlineStr">
        <is>
          <t>P / TBV Comps (peer median)</t>
        </is>
      </c>
      <c r="C23" s="78">
        <f>G16*0.85</f>
        <v/>
      </c>
      <c r="D23" s="78">
        <f>G16</f>
        <v/>
      </c>
      <c r="E23" s="78">
        <f>G16*1.15</f>
        <v/>
      </c>
      <c r="F23" s="55" t="inlineStr">
        <is>
          <t>Median applied to TBV</t>
        </is>
      </c>
    </row>
    <row r="24">
      <c r="B24" s="61" t="inlineStr">
        <is>
          <t>P / E Comps (peer median)</t>
        </is>
      </c>
      <c r="C24" s="79">
        <f>G17*0.85</f>
        <v/>
      </c>
      <c r="D24" s="79">
        <f>G17</f>
        <v/>
      </c>
      <c r="E24" s="79">
        <f>G17*1.15</f>
        <v/>
      </c>
      <c r="F24" s="61" t="inlineStr">
        <is>
          <t>Median applied to NI</t>
        </is>
      </c>
    </row>
    <row r="25">
      <c r="B25" s="55" t="inlineStr">
        <is>
          <t>52-Week Trading Range</t>
        </is>
      </c>
      <c r="C25" s="80" t="n">
        <v>251.55</v>
      </c>
      <c r="E25" s="80" t="n">
        <v>337.25</v>
      </c>
      <c r="F25" s="55" t="inlineStr">
        <is>
          <t>Market reference</t>
        </is>
      </c>
    </row>
    <row r="26">
      <c r="B26" s="61" t="inlineStr">
        <is>
          <t>Current Market Price</t>
        </is>
      </c>
      <c r="C26" s="81" t="n">
        <v>306.27</v>
      </c>
      <c r="E26" s="81" t="n">
        <v>306.27</v>
      </c>
      <c r="F26" s="61" t="inlineStr">
        <is>
          <t>Reference line</t>
        </is>
      </c>
    </row>
    <row r="28" ht="30" customHeight="1">
      <c r="B28" s="82" t="inlineStr">
        <is>
          <t>DISCLAIMER: Generated by Intrinsic. For informational purposes only. Not investment advice. Financial-sector multiples — P/B and P/TBV are primary; EV-based metrics (EV/EBITDA, EV/Revenue) intentionally omitted as they are not standard for banks. All figures in $mm unless stated.</t>
        </is>
      </c>
    </row>
  </sheetData>
  <mergeCells count="5">
    <mergeCell ref="B1:O1"/>
    <mergeCell ref="B13:N13"/>
    <mergeCell ref="B3:N3"/>
    <mergeCell ref="B19:N19"/>
    <mergeCell ref="B28:N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2026-05-07T23:51:23Z</dcterms:created>
  <dcterms:modified xsi:type="dcterms:W3CDTF">2026-05-07T23:51:25Z</dcterms:modified>
</cp:coreProperties>
</file>