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DCF" sheetId="2" state="visible" r:id="rId2"/>
    <sheet name="Comp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#,##0;(#,##0);&quot;-&quot;"/>
    <numFmt numFmtId="165" formatCode="0.0%;(0.0%);&quot;-&quot;"/>
    <numFmt numFmtId="166" formatCode="0.0"/>
    <numFmt numFmtId="167" formatCode="0.000"/>
    <numFmt numFmtId="168" formatCode="&quot;$&quot;#,##0.00"/>
    <numFmt numFmtId="169" formatCode="0.0%"/>
    <numFmt numFmtId="170" formatCode="0.0x"/>
  </numFmts>
  <fonts count="17">
    <font>
      <name val="Calibri"/>
      <family val="2"/>
      <color theme="1"/>
      <sz val="11"/>
      <scheme val="minor"/>
    </font>
    <font>
      <name val="Calibri"/>
      <b val="1"/>
      <color rgb="00003366"/>
      <sz val="10"/>
    </font>
    <font>
      <name val="Calibri"/>
      <color rgb="000000FF"/>
      <sz val="10"/>
    </font>
    <font>
      <name val="Calibri"/>
      <color rgb="00336699"/>
      <sz val="9"/>
    </font>
    <font>
      <name val="Calibri"/>
      <i val="1"/>
      <color rgb="00595959"/>
      <sz val="8"/>
    </font>
    <font>
      <name val="Calibri"/>
      <b val="1"/>
      <color rgb="00FFFFFF"/>
      <sz val="14"/>
    </font>
    <font>
      <name val="Calibri"/>
      <b val="1"/>
      <color rgb="00003366"/>
      <sz val="8"/>
    </font>
    <font>
      <name val="Calibri"/>
      <color rgb="000000FF"/>
      <sz val="8"/>
    </font>
    <font>
      <name val="Calibri"/>
      <b val="1"/>
      <color rgb="00FFFFFF"/>
      <sz val="8"/>
    </font>
    <font>
      <name val="Calibri"/>
      <b val="1"/>
      <color rgb="00FFFFFF"/>
      <sz val="9"/>
    </font>
    <font>
      <name val="Calibri"/>
      <b val="1"/>
      <color rgb="00000000"/>
      <sz val="9"/>
    </font>
    <font>
      <name val="Calibri"/>
      <color rgb="000000FF"/>
      <sz val="9"/>
    </font>
    <font>
      <name val="Calibri"/>
      <color rgb="00000000"/>
      <sz val="9"/>
    </font>
    <font>
      <name val="Calibri"/>
      <color rgb="00008000"/>
      <sz val="9"/>
    </font>
    <font>
      <name val="Calibri"/>
      <color rgb="00000000"/>
      <sz val="8"/>
    </font>
    <font>
      <name val="Calibri"/>
      <color rgb="00008000"/>
      <sz val="8"/>
    </font>
    <font>
      <name val="Calibri"/>
      <i val="1"/>
      <color rgb="00595959"/>
      <sz val="7"/>
    </font>
  </fonts>
  <fills count="15">
    <fill>
      <patternFill/>
    </fill>
    <fill>
      <patternFill patternType="gray125"/>
    </fill>
    <fill>
      <patternFill patternType="solid">
        <fgColor rgb="00003366"/>
        <bgColor rgb="00003366"/>
      </patternFill>
    </fill>
    <fill>
      <patternFill patternType="solid">
        <fgColor rgb="004472C4"/>
        <bgColor rgb="004472C4"/>
      </patternFill>
    </fill>
    <fill>
      <patternFill patternType="solid">
        <fgColor rgb="002E5594"/>
        <bgColor rgb="002E5594"/>
      </patternFill>
    </fill>
    <fill>
      <patternFill patternType="solid">
        <fgColor rgb="00004080"/>
        <bgColor rgb="00004080"/>
      </patternFill>
    </fill>
    <fill>
      <patternFill patternType="solid">
        <fgColor rgb="00FFFFFF"/>
        <bgColor rgb="00FFFFFF"/>
      </patternFill>
    </fill>
    <fill>
      <patternFill patternType="solid">
        <fgColor rgb="00FFFF99"/>
        <bgColor rgb="00FFFF99"/>
      </patternFill>
    </fill>
    <fill>
      <patternFill patternType="solid">
        <fgColor rgb="00F2F2F2"/>
        <bgColor rgb="00F2F2F2"/>
      </patternFill>
    </fill>
    <fill>
      <patternFill patternType="solid">
        <fgColor rgb="00D9E1F2"/>
        <bgColor rgb="00D9E1F2"/>
      </patternFill>
    </fill>
    <fill>
      <patternFill patternType="solid">
        <fgColor rgb="00B8CCE4"/>
        <bgColor rgb="00B8CCE4"/>
      </patternFill>
    </fill>
    <fill>
      <patternFill patternType="solid">
        <fgColor rgb="00E2EFDA"/>
        <bgColor rgb="00E2EFDA"/>
      </patternFill>
    </fill>
    <fill>
      <patternFill patternType="solid">
        <fgColor rgb="00336699"/>
        <bgColor rgb="00336699"/>
      </patternFill>
    </fill>
    <fill>
      <patternFill patternType="solid">
        <fgColor rgb="004A4A4A"/>
        <bgColor rgb="004A4A4A"/>
      </patternFill>
    </fill>
    <fill>
      <patternFill patternType="solid">
        <fgColor rgb="00FFF2CC"/>
        <bgColor rgb="00FFF2CC"/>
      </patternFill>
    </fill>
  </fills>
  <borders count="2">
    <border>
      <left/>
      <right/>
      <top/>
      <bottom/>
      <diagonal/>
    </border>
    <border>
      <bottom style="thick">
        <color rgb="004472C4"/>
      </bottom>
    </border>
  </borders>
  <cellStyleXfs count="1">
    <xf numFmtId="0" fontId="0" fillId="0" borderId="0"/>
  </cellStyleXfs>
  <cellXfs count="85">
    <xf numFmtId="0" fontId="0" fillId="0" borderId="0" pivotButton="0" quotePrefix="0" xfId="0"/>
    <xf numFmtId="0" fontId="0" fillId="0" borderId="1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6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0" fontId="8" fillId="3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right" vertical="center"/>
    </xf>
    <xf numFmtId="164" fontId="12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165" fontId="11" fillId="7" borderId="0" applyAlignment="1" pivotButton="0" quotePrefix="0" xfId="0">
      <alignment horizontal="right" vertical="center"/>
    </xf>
    <xf numFmtId="165" fontId="12" fillId="8" borderId="0" applyAlignment="1" pivotButton="0" quotePrefix="0" xfId="0">
      <alignment horizontal="right" vertical="center"/>
    </xf>
    <xf numFmtId="164" fontId="11" fillId="8" borderId="0" applyAlignment="1" pivotButton="0" quotePrefix="0" xfId="0">
      <alignment horizontal="right" vertical="center"/>
    </xf>
    <xf numFmtId="164" fontId="12" fillId="8" borderId="0" applyAlignment="1" pivotButton="0" quotePrefix="0" xfId="0">
      <alignment horizontal="right" vertical="center"/>
    </xf>
    <xf numFmtId="165" fontId="12" fillId="0" borderId="0" applyAlignment="1" pivotButton="0" quotePrefix="0" xfId="0">
      <alignment horizontal="right" vertical="center"/>
    </xf>
    <xf numFmtId="164" fontId="10" fillId="0" borderId="0" applyAlignment="1" pivotButton="0" quotePrefix="0" xfId="0">
      <alignment horizontal="right" vertical="center"/>
    </xf>
    <xf numFmtId="165" fontId="12" fillId="7" borderId="0" applyAlignment="1" pivotButton="0" quotePrefix="0" xfId="0">
      <alignment horizontal="right" vertical="center"/>
    </xf>
    <xf numFmtId="164" fontId="10" fillId="9" borderId="0" applyAlignment="1" pivotButton="0" quotePrefix="0" xfId="0">
      <alignment horizontal="right" vertical="center"/>
    </xf>
    <xf numFmtId="164" fontId="10" fillId="10" borderId="0" applyAlignment="1" pivotButton="0" quotePrefix="0" xfId="0">
      <alignment horizontal="right" vertical="center"/>
    </xf>
    <xf numFmtId="2" fontId="11" fillId="7" borderId="0" applyAlignment="1" pivotButton="0" quotePrefix="0" xfId="0">
      <alignment horizontal="right" vertical="center"/>
    </xf>
    <xf numFmtId="165" fontId="10" fillId="9" borderId="0" applyAlignment="1" pivotButton="0" quotePrefix="0" xfId="0">
      <alignment horizontal="right" vertical="center"/>
    </xf>
    <xf numFmtId="165" fontId="10" fillId="10" borderId="0" applyAlignment="1" pivotButton="0" quotePrefix="0" xfId="0">
      <alignment horizontal="right" vertical="center"/>
    </xf>
    <xf numFmtId="164" fontId="13" fillId="8" borderId="0" applyAlignment="1" pivotButton="0" quotePrefix="0" xfId="0">
      <alignment horizontal="right" vertical="center"/>
    </xf>
    <xf numFmtId="166" fontId="12" fillId="8" borderId="0" applyAlignment="1" pivotButton="0" quotePrefix="0" xfId="0">
      <alignment horizontal="right" vertical="center"/>
    </xf>
    <xf numFmtId="167" fontId="12" fillId="0" borderId="0" applyAlignment="1" pivotButton="0" quotePrefix="0" xfId="0">
      <alignment horizontal="right" vertical="center"/>
    </xf>
    <xf numFmtId="164" fontId="12" fillId="6" borderId="0" applyAlignment="1" pivotButton="0" quotePrefix="0" xfId="0">
      <alignment horizontal="right" vertical="center"/>
    </xf>
    <xf numFmtId="164" fontId="11" fillId="7" borderId="0" applyAlignment="1" pivotButton="0" quotePrefix="0" xfId="0">
      <alignment horizontal="right" vertical="center"/>
    </xf>
    <xf numFmtId="164" fontId="10" fillId="11" borderId="0" applyAlignment="1" pivotButton="0" quotePrefix="0" xfId="0">
      <alignment horizontal="right" vertical="center"/>
    </xf>
    <xf numFmtId="168" fontId="10" fillId="11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right" vertical="center"/>
    </xf>
    <xf numFmtId="169" fontId="9" fillId="12" borderId="0" applyAlignment="1" pivotButton="0" quotePrefix="0" xfId="0">
      <alignment horizontal="center" vertical="center"/>
    </xf>
    <xf numFmtId="168" fontId="12" fillId="8" borderId="0" applyAlignment="1" pivotButton="0" quotePrefix="0" xfId="0">
      <alignment horizontal="center" vertical="center"/>
    </xf>
    <xf numFmtId="168" fontId="12" fillId="6" borderId="0" applyAlignment="1" pivotButton="0" quotePrefix="0" xfId="0">
      <alignment horizontal="center" vertical="center"/>
    </xf>
    <xf numFmtId="0" fontId="9" fillId="13" borderId="0" applyAlignment="1" pivotButton="0" quotePrefix="0" xfId="0">
      <alignment horizontal="left" vertical="center"/>
    </xf>
    <xf numFmtId="0" fontId="7" fillId="6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7" fillId="7" borderId="0" applyAlignment="1" pivotButton="0" quotePrefix="0" xfId="0">
      <alignment horizontal="left" vertical="center"/>
    </xf>
    <xf numFmtId="0" fontId="14" fillId="6" borderId="0" applyAlignment="1" pivotButton="0" quotePrefix="0" xfId="0">
      <alignment horizontal="left" vertical="center"/>
    </xf>
    <xf numFmtId="0" fontId="15" fillId="6" borderId="0" applyAlignment="1" pivotButton="0" quotePrefix="0" xfId="0">
      <alignment horizontal="left" vertical="center"/>
    </xf>
    <xf numFmtId="0" fontId="14" fillId="9" borderId="0" applyAlignment="1" pivotButton="0" quotePrefix="0" xfId="0">
      <alignment horizontal="left" vertical="center"/>
    </xf>
    <xf numFmtId="0" fontId="14" fillId="10" borderId="0" applyAlignment="1" pivotButton="0" quotePrefix="0" xfId="0">
      <alignment horizontal="left" vertical="center"/>
    </xf>
    <xf numFmtId="0" fontId="14" fillId="11" borderId="0" applyAlignment="1" pivotButton="0" quotePrefix="0" xfId="0">
      <alignment horizontal="left" vertical="center"/>
    </xf>
    <xf numFmtId="0" fontId="14" fillId="14" borderId="0" applyAlignment="1" pivotButton="0" quotePrefix="0" xfId="0">
      <alignment horizontal="left" vertical="center"/>
    </xf>
    <xf numFmtId="0" fontId="8" fillId="4" borderId="0" applyAlignment="1" pivotButton="0" quotePrefix="0" xfId="0">
      <alignment horizontal="center" vertical="center" wrapText="1"/>
    </xf>
    <xf numFmtId="0" fontId="12" fillId="8" borderId="0" applyAlignment="1" pivotButton="0" quotePrefix="0" xfId="0">
      <alignment horizontal="left" vertical="center"/>
    </xf>
    <xf numFmtId="0" fontId="11" fillId="8" borderId="0" applyAlignment="1" pivotButton="0" quotePrefix="0" xfId="0">
      <alignment horizontal="left" vertical="center"/>
    </xf>
    <xf numFmtId="164" fontId="11" fillId="8" borderId="0" applyAlignment="1" pivotButton="0" quotePrefix="0" xfId="0">
      <alignment horizontal="center" vertical="center"/>
    </xf>
    <xf numFmtId="164" fontId="12" fillId="8" borderId="0" applyAlignment="1" pivotButton="0" quotePrefix="0" xfId="0">
      <alignment horizontal="center" vertical="center"/>
    </xf>
    <xf numFmtId="170" fontId="12" fillId="8" borderId="0" applyAlignment="1" pivotButton="0" quotePrefix="0" xfId="0">
      <alignment horizontal="center" vertical="center"/>
    </xf>
    <xf numFmtId="170" fontId="11" fillId="8" borderId="0" applyAlignment="1" pivotButton="0" quotePrefix="0" xfId="0">
      <alignment horizontal="center" vertical="center"/>
    </xf>
    <xf numFmtId="165" fontId="11" fillId="8" borderId="0" applyAlignment="1" pivotButton="0" quotePrefix="0" xfId="0">
      <alignment horizontal="center" vertical="center"/>
    </xf>
    <xf numFmtId="165" fontId="12" fillId="8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center" vertical="center"/>
    </xf>
    <xf numFmtId="164" fontId="12" fillId="6" borderId="0" applyAlignment="1" pivotButton="0" quotePrefix="0" xfId="0">
      <alignment horizontal="center" vertical="center"/>
    </xf>
    <xf numFmtId="170" fontId="12" fillId="6" borderId="0" applyAlignment="1" pivotButton="0" quotePrefix="0" xfId="0">
      <alignment horizontal="center" vertical="center"/>
    </xf>
    <xf numFmtId="170" fontId="11" fillId="6" borderId="0" applyAlignment="1" pivotButton="0" quotePrefix="0" xfId="0">
      <alignment horizontal="center" vertical="center"/>
    </xf>
    <xf numFmtId="165" fontId="11" fillId="6" borderId="0" applyAlignment="1" pivotButton="0" quotePrefix="0" xfId="0">
      <alignment horizontal="center" vertical="center"/>
    </xf>
    <xf numFmtId="165" fontId="12" fillId="6" borderId="0" applyAlignment="1" pivotButton="0" quotePrefix="0" xfId="0">
      <alignment horizontal="center" vertical="center"/>
    </xf>
    <xf numFmtId="164" fontId="9" fillId="5" borderId="0" applyAlignment="1" pivotButton="0" quotePrefix="0" xfId="0">
      <alignment horizontal="center" vertical="center"/>
    </xf>
    <xf numFmtId="170" fontId="9" fillId="5" borderId="0" applyAlignment="1" pivotButton="0" quotePrefix="0" xfId="0">
      <alignment horizontal="center" vertical="center"/>
    </xf>
    <xf numFmtId="165" fontId="9" fillId="5" borderId="0" applyAlignment="1" pivotButton="0" quotePrefix="0" xfId="0">
      <alignment horizontal="center" vertical="center"/>
    </xf>
    <xf numFmtId="168" fontId="9" fillId="5" borderId="0" applyAlignment="1" pivotButton="0" quotePrefix="0" xfId="0">
      <alignment horizontal="center" vertical="center"/>
    </xf>
    <xf numFmtId="0" fontId="8" fillId="12" borderId="0" applyAlignment="1" pivotButton="0" quotePrefix="0" xfId="0">
      <alignment horizontal="center" vertical="center" wrapText="1"/>
    </xf>
    <xf numFmtId="170" fontId="13" fillId="6" borderId="0" applyAlignment="1" pivotButton="0" quotePrefix="0" xfId="0">
      <alignment horizontal="center" vertical="center"/>
    </xf>
    <xf numFmtId="3" fontId="11" fillId="6" borderId="0" applyAlignment="1" pivotButton="0" quotePrefix="0" xfId="0">
      <alignment horizontal="center" vertical="center"/>
    </xf>
    <xf numFmtId="168" fontId="12" fillId="11" borderId="0" applyAlignment="1" pivotButton="0" quotePrefix="0" xfId="0">
      <alignment horizontal="center" vertical="center"/>
    </xf>
    <xf numFmtId="170" fontId="13" fillId="8" borderId="0" applyAlignment="1" pivotButton="0" quotePrefix="0" xfId="0">
      <alignment horizontal="center" vertical="center"/>
    </xf>
    <xf numFmtId="3" fontId="11" fillId="8" borderId="0" applyAlignment="1" pivotButton="0" quotePrefix="0" xfId="0">
      <alignment horizontal="center" vertical="center"/>
    </xf>
    <xf numFmtId="0" fontId="9" fillId="12" borderId="0" applyAlignment="1" pivotButton="0" quotePrefix="0" xfId="0">
      <alignment horizontal="center" vertical="center"/>
    </xf>
    <xf numFmtId="168" fontId="13" fillId="8" borderId="0" applyAlignment="1" pivotButton="0" quotePrefix="0" xfId="0">
      <alignment horizontal="center" vertical="center"/>
    </xf>
    <xf numFmtId="168" fontId="13" fillId="6" borderId="0" applyAlignment="1" pivotButton="0" quotePrefix="0" xfId="0">
      <alignment horizontal="center" vertical="center"/>
    </xf>
    <xf numFmtId="168" fontId="11" fillId="6" borderId="0" applyAlignment="1" pivotButton="0" quotePrefix="0" xfId="0">
      <alignment horizontal="center" vertical="center"/>
    </xf>
    <xf numFmtId="168" fontId="11" fillId="8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8286750" cy="465772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0:F25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45.84375" customHeight="1"/>
    <row r="2" ht="45.84375" customHeight="1"/>
    <row r="3" ht="45.84375" customHeight="1"/>
    <row r="4" ht="45.84375" customHeight="1"/>
    <row r="5" ht="45.84375" customHeight="1"/>
    <row r="6" ht="45.84375" customHeight="1"/>
    <row r="7" ht="45.84375" customHeight="1"/>
    <row r="8" ht="45.84375" customHeight="1"/>
    <row r="9" ht="3" customHeight="1"/>
    <row r="10" ht="3" customHeight="1">
      <c r="A10" s="1" t="n"/>
      <c r="B10" s="1" t="n"/>
      <c r="C10" s="1" t="n"/>
      <c r="D10" s="1" t="n"/>
      <c r="E10" s="1" t="n"/>
      <c r="F10" s="1" t="n"/>
    </row>
    <row r="11">
      <c r="B11" s="2" t="inlineStr">
        <is>
          <t>Company</t>
        </is>
      </c>
      <c r="E11" s="3" t="inlineStr">
        <is>
          <t>NVIDIA</t>
        </is>
      </c>
    </row>
    <row r="12">
      <c r="B12" s="2" t="inlineStr">
        <is>
          <t>Sector</t>
        </is>
      </c>
      <c r="E12" s="3" t="inlineStr">
        <is>
          <t>Technology</t>
        </is>
      </c>
    </row>
    <row r="13">
      <c r="B13" s="2" t="inlineStr">
        <is>
          <t>Date</t>
        </is>
      </c>
      <c r="E13" s="3" t="inlineStr">
        <is>
          <t>May 2026</t>
        </is>
      </c>
    </row>
    <row r="14">
      <c r="B14" s="2" t="inlineStr">
        <is>
          <t>Analyst</t>
        </is>
      </c>
      <c r="E14" s="3" t="inlineStr">
        <is>
          <t>—</t>
        </is>
      </c>
    </row>
    <row r="15">
      <c r="B15" s="2" t="inlineStr">
        <is>
          <t>Model Version</t>
        </is>
      </c>
      <c r="E15" s="3" t="inlineStr">
        <is>
          <t>v1.0 — Intrinsic MVP</t>
        </is>
      </c>
    </row>
    <row r="21">
      <c r="B21" s="4" t="inlineStr">
        <is>
          <t>Navigate:    Sheet 1 → DCF Model    |    Sheet 2 → Comparable Company Analysis</t>
        </is>
      </c>
    </row>
    <row r="22"/>
    <row r="24">
      <c r="B24" s="5" t="inlineStr">
        <is>
          <t>Colour key:  Blue text = hardcoded input  |  Yellow bg = projected assumption  |  Black = formula  |  Green = cross-sheet link  |  Green fill = output</t>
        </is>
      </c>
    </row>
    <row r="25"/>
  </sheetData>
  <mergeCells count="12">
    <mergeCell ref="B11:D11"/>
    <mergeCell ref="E12:F12"/>
    <mergeCell ref="B14:D14"/>
    <mergeCell ref="B15:D15"/>
    <mergeCell ref="E15:F15"/>
    <mergeCell ref="E11:F11"/>
    <mergeCell ref="B21:F22"/>
    <mergeCell ref="B13:D13"/>
    <mergeCell ref="E13:F13"/>
    <mergeCell ref="E14:F14"/>
    <mergeCell ref="B12:D12"/>
    <mergeCell ref="B24:F25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K7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</cols>
  <sheetData>
    <row r="1" ht="15" customHeight="1">
      <c r="B1" s="6" t="inlineStr">
        <is>
          <t>INTRINSIC  |  Discounted Cash Flow Valuation Model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</row>
    <row r="3">
      <c r="B3" s="8" t="inlineStr">
        <is>
          <t>Company:</t>
        </is>
      </c>
      <c r="C3" s="9" t="inlineStr">
        <is>
          <t>NVIDIA</t>
        </is>
      </c>
      <c r="D3" s="8" t="inlineStr">
        <is>
          <t>Ticker:</t>
        </is>
      </c>
      <c r="E3" s="9" t="inlineStr">
        <is>
          <t>NVDA</t>
        </is>
      </c>
      <c r="F3" s="8" t="inlineStr">
        <is>
          <t>Sector:</t>
        </is>
      </c>
      <c r="G3" s="9" t="inlineStr">
        <is>
          <t>Technology</t>
        </is>
      </c>
      <c r="H3" s="8" t="inlineStr">
        <is>
          <t>Date:</t>
        </is>
      </c>
      <c r="I3" s="9" t="inlineStr">
        <is>
          <t>May 2026</t>
        </is>
      </c>
      <c r="J3" s="8" t="inlineStr">
        <is>
          <t>Analyst:</t>
        </is>
      </c>
      <c r="K3" s="9" t="inlineStr">
        <is>
          <t>—</t>
        </is>
      </c>
    </row>
    <row r="5" ht="15" customHeight="1">
      <c r="C5" s="10" t="inlineStr">
        <is>
          <t>◄  Historical  ►</t>
        </is>
      </c>
      <c r="F5" s="11" t="inlineStr">
        <is>
          <t>◄  Projected  ►</t>
        </is>
      </c>
    </row>
    <row r="6" ht="15" customHeight="1">
      <c r="C6" s="12" t="inlineStr">
        <is>
          <t>2024A</t>
        </is>
      </c>
      <c r="D6" s="12" t="inlineStr">
        <is>
          <t>2025A</t>
        </is>
      </c>
      <c r="E6" s="12" t="inlineStr">
        <is>
          <t>2026A</t>
        </is>
      </c>
      <c r="F6" s="13" t="inlineStr">
        <is>
          <t>2027E</t>
        </is>
      </c>
      <c r="G6" s="13" t="inlineStr">
        <is>
          <t>2028E</t>
        </is>
      </c>
      <c r="H6" s="13" t="inlineStr">
        <is>
          <t>2029E</t>
        </is>
      </c>
      <c r="I6" s="13" t="inlineStr">
        <is>
          <t>2030E</t>
        </is>
      </c>
      <c r="J6" s="13" t="inlineStr">
        <is>
          <t>2031E</t>
        </is>
      </c>
      <c r="K6" s="13" t="inlineStr">
        <is>
          <t>2032E</t>
        </is>
      </c>
    </row>
    <row r="8" ht="15" customHeight="1">
      <c r="B8" s="14" t="inlineStr">
        <is>
          <t xml:space="preserve">  1.  REVENUE &amp; INCOME STATEMENT DRIVERS</t>
        </is>
      </c>
    </row>
    <row r="9">
      <c r="B9" s="15" t="inlineStr">
        <is>
          <t>Revenue ($mm)</t>
        </is>
      </c>
      <c r="C9" s="16" t="n">
        <v>60922</v>
      </c>
      <c r="D9" s="16" t="n">
        <v>130497</v>
      </c>
      <c r="E9" s="16" t="n">
        <v>215938</v>
      </c>
      <c r="F9" s="17">
        <f>E9*(1+F10)</f>
        <v/>
      </c>
      <c r="G9" s="17">
        <f>F9*(1+G10)</f>
        <v/>
      </c>
      <c r="H9" s="17">
        <f>G9*(1+H10)</f>
        <v/>
      </c>
      <c r="I9" s="17">
        <f>H9*(1+I10)</f>
        <v/>
      </c>
      <c r="J9" s="17">
        <f>I9*(1+J10)</f>
        <v/>
      </c>
      <c r="K9" s="17">
        <f>J9*(1+K10)</f>
        <v/>
      </c>
    </row>
    <row r="10">
      <c r="B10" s="18" t="inlineStr">
        <is>
          <t xml:space="preserve">  Revenue Growth (%)</t>
        </is>
      </c>
      <c r="F10" s="19" t="n">
        <v>0.4</v>
      </c>
      <c r="G10" s="19" t="n">
        <v>0.4</v>
      </c>
      <c r="H10" s="19" t="n">
        <v>0.4</v>
      </c>
      <c r="I10" s="19" t="n">
        <v>0.4</v>
      </c>
      <c r="J10" s="19" t="n">
        <v>0.4</v>
      </c>
      <c r="K10" s="19" t="n">
        <v>0.4</v>
      </c>
    </row>
    <row r="11">
      <c r="B11" s="15" t="inlineStr">
        <is>
          <t>EBIT ($mm)</t>
        </is>
      </c>
      <c r="C11" s="16" t="n">
        <v>34075</v>
      </c>
      <c r="D11" s="16" t="n">
        <v>84273</v>
      </c>
      <c r="E11" s="16" t="n">
        <v>141709</v>
      </c>
      <c r="F11" s="17">
        <f>F9*F12</f>
        <v/>
      </c>
      <c r="G11" s="17">
        <f>G9*G12</f>
        <v/>
      </c>
      <c r="H11" s="17">
        <f>H9*H12</f>
        <v/>
      </c>
      <c r="I11" s="17">
        <f>I9*I12</f>
        <v/>
      </c>
      <c r="J11" s="17">
        <f>J9*J12</f>
        <v/>
      </c>
      <c r="K11" s="17">
        <f>K9*K12</f>
        <v/>
      </c>
    </row>
    <row r="12">
      <c r="B12" s="18" t="inlineStr">
        <is>
          <t xml:space="preserve">  EBIT Margin (%)</t>
        </is>
      </c>
      <c r="C12" s="20">
        <f>C11/C9</f>
        <v/>
      </c>
      <c r="D12" s="20">
        <f>D11/D9</f>
        <v/>
      </c>
      <c r="E12" s="20">
        <f>E11/E9</f>
        <v/>
      </c>
      <c r="F12" s="19" t="n">
        <v>0.35</v>
      </c>
      <c r="G12" s="19" t="n">
        <v>0.35</v>
      </c>
      <c r="H12" s="19" t="n">
        <v>0.35</v>
      </c>
      <c r="I12" s="19" t="n">
        <v>0.35</v>
      </c>
      <c r="J12" s="19" t="n">
        <v>0.35</v>
      </c>
      <c r="K12" s="19" t="n">
        <v>0.35</v>
      </c>
    </row>
    <row r="13">
      <c r="B13" s="18" t="inlineStr">
        <is>
          <t>Depreciation &amp; Amortisation ($mm)</t>
        </is>
      </c>
      <c r="C13" s="21" t="n">
        <v>1508</v>
      </c>
      <c r="D13" s="21" t="n">
        <v>1864</v>
      </c>
      <c r="E13" s="21" t="n">
        <v>2843</v>
      </c>
      <c r="F13" s="22">
        <f>F9*F14</f>
        <v/>
      </c>
      <c r="G13" s="22">
        <f>G9*G14</f>
        <v/>
      </c>
      <c r="H13" s="22">
        <f>H9*H14</f>
        <v/>
      </c>
      <c r="I13" s="22">
        <f>I9*I14</f>
        <v/>
      </c>
      <c r="J13" s="22">
        <f>J9*J14</f>
        <v/>
      </c>
      <c r="K13" s="22">
        <f>K9*K14</f>
        <v/>
      </c>
    </row>
    <row r="14">
      <c r="B14" s="18" t="inlineStr">
        <is>
          <t xml:space="preserve">  D&amp;A (% Revenue)</t>
        </is>
      </c>
      <c r="C14" s="23">
        <f>C13/C9</f>
        <v/>
      </c>
      <c r="D14" s="23">
        <f>D13/D9</f>
        <v/>
      </c>
      <c r="E14" s="23">
        <f>E13/E9</f>
        <v/>
      </c>
      <c r="F14" s="19" t="n">
        <v>0.01316581611388454</v>
      </c>
      <c r="G14" s="19" t="n">
        <v>0.01316581611388454</v>
      </c>
      <c r="H14" s="19" t="n">
        <v>0.01316581611388454</v>
      </c>
      <c r="I14" s="19" t="n">
        <v>0.01316581611388454</v>
      </c>
      <c r="J14" s="19" t="n">
        <v>0.01316581611388454</v>
      </c>
      <c r="K14" s="19" t="n">
        <v>0.01316581611388454</v>
      </c>
    </row>
    <row r="15">
      <c r="B15" s="18" t="inlineStr">
        <is>
          <t>Capital Expenditure ($mm)</t>
        </is>
      </c>
      <c r="C15" s="21" t="n">
        <v>-1069</v>
      </c>
      <c r="D15" s="21" t="n">
        <v>-3236</v>
      </c>
      <c r="E15" s="21" t="n">
        <v>-6042</v>
      </c>
      <c r="F15" s="22">
        <f>-F9*F16</f>
        <v/>
      </c>
      <c r="G15" s="22">
        <f>-G9*G16</f>
        <v/>
      </c>
      <c r="H15" s="22">
        <f>-H9*H16</f>
        <v/>
      </c>
      <c r="I15" s="22">
        <f>-I9*I16</f>
        <v/>
      </c>
      <c r="J15" s="22">
        <f>-J9*J16</f>
        <v/>
      </c>
      <c r="K15" s="22">
        <f>-K9*K16</f>
        <v/>
      </c>
    </row>
    <row r="16">
      <c r="B16" s="18" t="inlineStr">
        <is>
          <t xml:space="preserve">  CapEx (% Revenue)</t>
        </is>
      </c>
      <c r="C16" s="23">
        <f>ABS(C15)/C9</f>
        <v/>
      </c>
      <c r="D16" s="23">
        <f>ABS(D15)/D9</f>
        <v/>
      </c>
      <c r="E16" s="23">
        <f>ABS(E15)/E9</f>
        <v/>
      </c>
      <c r="F16" s="19" t="n">
        <v>0.02</v>
      </c>
      <c r="G16" s="19" t="n">
        <v>0.02</v>
      </c>
      <c r="H16" s="19" t="n">
        <v>0.02</v>
      </c>
      <c r="I16" s="19" t="n">
        <v>0.02</v>
      </c>
      <c r="J16" s="19" t="n">
        <v>0.02</v>
      </c>
      <c r="K16" s="19" t="n">
        <v>0.02</v>
      </c>
    </row>
    <row r="17">
      <c r="B17" s="18" t="inlineStr">
        <is>
          <t>Change in Net Working Capital ($mm)</t>
        </is>
      </c>
      <c r="C17" s="21" t="n">
        <v>-3722</v>
      </c>
      <c r="D17" s="21" t="n">
        <v>-9383</v>
      </c>
      <c r="E17" s="21" t="n">
        <v>-15949</v>
      </c>
      <c r="F17" s="22">
        <f>-F9*F18</f>
        <v/>
      </c>
      <c r="G17" s="22">
        <f>-G9*G18</f>
        <v/>
      </c>
      <c r="H17" s="22">
        <f>-H9*H18</f>
        <v/>
      </c>
      <c r="I17" s="22">
        <f>-I9*I18</f>
        <v/>
      </c>
      <c r="J17" s="22">
        <f>-J9*J18</f>
        <v/>
      </c>
      <c r="K17" s="22">
        <f>-K9*K18</f>
        <v/>
      </c>
    </row>
    <row r="18">
      <c r="B18" s="18" t="inlineStr">
        <is>
          <t xml:space="preserve">  NWC Change (% Revenue)</t>
        </is>
      </c>
      <c r="F18" s="19" t="n">
        <v>0.005</v>
      </c>
      <c r="G18" s="19" t="n">
        <v>0.005</v>
      </c>
      <c r="H18" s="19" t="n">
        <v>0.005</v>
      </c>
      <c r="I18" s="19" t="n">
        <v>0.005</v>
      </c>
      <c r="J18" s="19" t="n">
        <v>0.005</v>
      </c>
      <c r="K18" s="19" t="n">
        <v>0.005</v>
      </c>
    </row>
    <row r="20" ht="15" customHeight="1">
      <c r="B20" s="14" t="inlineStr">
        <is>
          <t xml:space="preserve">  2.  UNLEVERED FREE CASH FLOW (UFCF) WATERFALL</t>
        </is>
      </c>
    </row>
    <row r="21">
      <c r="B21" s="15" t="inlineStr">
        <is>
          <t>EBIT ($mm)</t>
        </is>
      </c>
      <c r="C21" s="24">
        <f>C11</f>
        <v/>
      </c>
      <c r="D21" s="24">
        <f>D11</f>
        <v/>
      </c>
      <c r="E21" s="24">
        <f>E11</f>
        <v/>
      </c>
      <c r="F21" s="24">
        <f>F11</f>
        <v/>
      </c>
      <c r="G21" s="24">
        <f>G11</f>
        <v/>
      </c>
      <c r="H21" s="24">
        <f>H11</f>
        <v/>
      </c>
      <c r="I21" s="24">
        <f>I11</f>
        <v/>
      </c>
      <c r="J21" s="24">
        <f>J11</f>
        <v/>
      </c>
      <c r="K21" s="24">
        <f>K11</f>
        <v/>
      </c>
    </row>
    <row r="22">
      <c r="B22" s="18" t="inlineStr">
        <is>
          <t xml:space="preserve">  Less: Taxes  [NOPAT adjustment]</t>
        </is>
      </c>
      <c r="C22" s="22">
        <f>-C21*$F$23</f>
        <v/>
      </c>
      <c r="D22" s="22">
        <f>-D21*$F$23</f>
        <v/>
      </c>
      <c r="E22" s="22">
        <f>-E21*$F$23</f>
        <v/>
      </c>
      <c r="F22" s="22">
        <f>-F21*$F$23</f>
        <v/>
      </c>
      <c r="G22" s="22">
        <f>-G21*$F$23</f>
        <v/>
      </c>
      <c r="H22" s="22">
        <f>-H21*$F$23</f>
        <v/>
      </c>
      <c r="I22" s="22">
        <f>-I21*$F$23</f>
        <v/>
      </c>
      <c r="J22" s="22">
        <f>-J21*$F$23</f>
        <v/>
      </c>
      <c r="K22" s="22">
        <f>-K21*$F$23</f>
        <v/>
      </c>
    </row>
    <row r="23">
      <c r="B23" s="18" t="inlineStr">
        <is>
          <t xml:space="preserve">  Effective Tax Rate (%)</t>
        </is>
      </c>
      <c r="F23" s="19" t="n">
        <v>0.11</v>
      </c>
      <c r="G23" s="25">
        <f>$F$23</f>
        <v/>
      </c>
      <c r="H23" s="25">
        <f>$F$23</f>
        <v/>
      </c>
      <c r="I23" s="25">
        <f>$F$23</f>
        <v/>
      </c>
      <c r="J23" s="25">
        <f>$F$23</f>
        <v/>
      </c>
      <c r="K23" s="25">
        <f>$F$23</f>
        <v/>
      </c>
    </row>
    <row r="24">
      <c r="B24" s="15" t="inlineStr">
        <is>
          <t>NOPAT  (Net Operating Profit After Tax)</t>
        </is>
      </c>
      <c r="C24" s="26">
        <f>C21+C22</f>
        <v/>
      </c>
      <c r="D24" s="26">
        <f>D21+D22</f>
        <v/>
      </c>
      <c r="E24" s="26">
        <f>E21+E22</f>
        <v/>
      </c>
      <c r="F24" s="26">
        <f>F21+F22</f>
        <v/>
      </c>
      <c r="G24" s="26">
        <f>G21+G22</f>
        <v/>
      </c>
      <c r="H24" s="26">
        <f>H21+H22</f>
        <v/>
      </c>
      <c r="I24" s="26">
        <f>I21+I22</f>
        <v/>
      </c>
      <c r="J24" s="26">
        <f>J21+J22</f>
        <v/>
      </c>
      <c r="K24" s="26">
        <f>K21+K22</f>
        <v/>
      </c>
    </row>
    <row r="25">
      <c r="B25" s="18" t="inlineStr">
        <is>
          <t xml:space="preserve">  Add: D&amp;A</t>
        </is>
      </c>
      <c r="C25" s="17">
        <f>C13</f>
        <v/>
      </c>
      <c r="D25" s="17">
        <f>D13</f>
        <v/>
      </c>
      <c r="E25" s="17">
        <f>E13</f>
        <v/>
      </c>
      <c r="F25" s="17">
        <f>F13</f>
        <v/>
      </c>
      <c r="G25" s="17">
        <f>G13</f>
        <v/>
      </c>
      <c r="H25" s="17">
        <f>H13</f>
        <v/>
      </c>
      <c r="I25" s="17">
        <f>I13</f>
        <v/>
      </c>
      <c r="J25" s="17">
        <f>J13</f>
        <v/>
      </c>
      <c r="K25" s="17">
        <f>K13</f>
        <v/>
      </c>
    </row>
    <row r="26">
      <c r="B26" s="18" t="inlineStr">
        <is>
          <t xml:space="preserve">  Less: Capital Expenditure</t>
        </is>
      </c>
      <c r="C26" s="22">
        <f>C15</f>
        <v/>
      </c>
      <c r="D26" s="22">
        <f>D15</f>
        <v/>
      </c>
      <c r="E26" s="22">
        <f>E15</f>
        <v/>
      </c>
      <c r="F26" s="22">
        <f>F15</f>
        <v/>
      </c>
      <c r="G26" s="22">
        <f>G15</f>
        <v/>
      </c>
      <c r="H26" s="22">
        <f>H15</f>
        <v/>
      </c>
      <c r="I26" s="22">
        <f>I15</f>
        <v/>
      </c>
      <c r="J26" s="22">
        <f>J15</f>
        <v/>
      </c>
      <c r="K26" s="22">
        <f>K15</f>
        <v/>
      </c>
    </row>
    <row r="27">
      <c r="B27" s="18" t="inlineStr">
        <is>
          <t xml:space="preserve">  Less: Change in NWC</t>
        </is>
      </c>
      <c r="C27" s="17">
        <f>C17</f>
        <v/>
      </c>
      <c r="D27" s="17">
        <f>D17</f>
        <v/>
      </c>
      <c r="E27" s="17">
        <f>E17</f>
        <v/>
      </c>
      <c r="F27" s="17">
        <f>F17</f>
        <v/>
      </c>
      <c r="G27" s="17">
        <f>G17</f>
        <v/>
      </c>
      <c r="H27" s="17">
        <f>H17</f>
        <v/>
      </c>
      <c r="I27" s="17">
        <f>I17</f>
        <v/>
      </c>
      <c r="J27" s="17">
        <f>J17</f>
        <v/>
      </c>
      <c r="K27" s="17">
        <f>K17</f>
        <v/>
      </c>
    </row>
    <row r="28">
      <c r="B28" s="15" t="inlineStr">
        <is>
          <t>Unlevered Free Cash Flow (UFCF)</t>
        </is>
      </c>
      <c r="C28" s="27">
        <f>C24+C25+C26+C27</f>
        <v/>
      </c>
      <c r="D28" s="27">
        <f>D24+D25+D26+D27</f>
        <v/>
      </c>
      <c r="E28" s="27">
        <f>E24+E25+E26+E27</f>
        <v/>
      </c>
      <c r="F28" s="27">
        <f>F24+F25+F26+F27</f>
        <v/>
      </c>
      <c r="G28" s="27">
        <f>G24+G25+G26+G27</f>
        <v/>
      </c>
      <c r="H28" s="27">
        <f>H24+H25+H26+H27</f>
        <v/>
      </c>
      <c r="I28" s="27">
        <f>I24+I25+I26+I27</f>
        <v/>
      </c>
      <c r="J28" s="27">
        <f>J24+J25+J26+J27</f>
        <v/>
      </c>
      <c r="K28" s="27">
        <f>K24+K25+K26+K27</f>
        <v/>
      </c>
    </row>
    <row r="30" ht="15" customHeight="1">
      <c r="B30" s="14" t="inlineStr">
        <is>
          <t xml:space="preserve">  3.  WACC — WEIGHTED AVERAGE COST OF CAPITAL</t>
        </is>
      </c>
    </row>
    <row r="31">
      <c r="B31" s="18" t="inlineStr">
        <is>
          <t>Risk-Free Rate (%)</t>
        </is>
      </c>
      <c r="C31" s="19" t="n">
        <v>0.043</v>
      </c>
    </row>
    <row r="32">
      <c r="B32" s="18" t="inlineStr">
        <is>
          <t>Equity Risk Premium / MRP (%)</t>
        </is>
      </c>
      <c r="C32" s="19" t="n">
        <v>0.055</v>
      </c>
    </row>
    <row r="33">
      <c r="B33" s="18" t="inlineStr">
        <is>
          <t>Levered Beta</t>
        </is>
      </c>
      <c r="C33" s="28" t="n">
        <v>2.24</v>
      </c>
    </row>
    <row r="34">
      <c r="B34" s="15" t="inlineStr">
        <is>
          <t>Cost of Equity — CAPM  [Rf + β × MRP]</t>
        </is>
      </c>
      <c r="C34" s="29">
        <f>C31+C33*C32</f>
        <v/>
      </c>
    </row>
    <row r="35">
      <c r="B35" s="18" t="inlineStr">
        <is>
          <t>Pre-Tax Cost of Debt (%)</t>
        </is>
      </c>
      <c r="C35" s="19" t="n">
        <v>0.035</v>
      </c>
    </row>
    <row r="36">
      <c r="B36" s="18" t="inlineStr">
        <is>
          <t>Equity Weight (%)</t>
        </is>
      </c>
      <c r="C36" s="19" t="n">
        <v>0.92</v>
      </c>
    </row>
    <row r="37">
      <c r="B37" s="18" t="inlineStr">
        <is>
          <t>Debt Weight (%)</t>
        </is>
      </c>
      <c r="C37" s="20">
        <f>1-C36</f>
        <v/>
      </c>
    </row>
    <row r="38">
      <c r="B38" s="15" t="inlineStr">
        <is>
          <t>WACC  [Ke×We + Kd×(1-t)×Wd]</t>
        </is>
      </c>
      <c r="C38" s="30">
        <f>C34*C36+C35*(1-F23)*C37</f>
        <v/>
      </c>
    </row>
    <row r="40" ht="15" customHeight="1">
      <c r="B40" s="14" t="inlineStr">
        <is>
          <t xml:space="preserve">  4.  TERMINAL VALUE</t>
        </is>
      </c>
    </row>
    <row r="41">
      <c r="B41" s="18" t="inlineStr">
        <is>
          <t>Terminal Growth Rate — g (%)</t>
        </is>
      </c>
      <c r="C41" s="19" t="n">
        <v>0.105</v>
      </c>
    </row>
    <row r="42">
      <c r="B42" s="18" t="inlineStr">
        <is>
          <t>Terminal Year UFCF ($mm)  [= Year 6 UFCF]</t>
        </is>
      </c>
      <c r="C42" s="31">
        <f>K28</f>
        <v/>
      </c>
    </row>
    <row r="43">
      <c r="B43" s="15" t="inlineStr">
        <is>
          <t>Terminal Value — Gordon Growth Model ($mm)</t>
        </is>
      </c>
      <c r="C43" s="27">
        <f>C42*(1+C41)/(C38-C41)</f>
        <v/>
      </c>
    </row>
    <row r="45" ht="15" customHeight="1">
      <c r="B45" s="14" t="inlineStr">
        <is>
          <t xml:space="preserve">  5.  DCF PRESENT VALUE — PROJECTED YEARS ONLY</t>
        </is>
      </c>
    </row>
    <row r="46">
      <c r="B46" s="18" t="inlineStr">
        <is>
          <t>Discount Period  (mid-year convention)</t>
        </is>
      </c>
      <c r="F46" s="32" t="n">
        <v>0.5</v>
      </c>
      <c r="G46" s="32" t="n">
        <v>1.5</v>
      </c>
      <c r="H46" s="32" t="n">
        <v>2.5</v>
      </c>
      <c r="I46" s="32" t="n">
        <v>3.5</v>
      </c>
      <c r="J46" s="32" t="n">
        <v>4.5</v>
      </c>
      <c r="K46" s="32" t="n">
        <v>5.5</v>
      </c>
    </row>
    <row r="47">
      <c r="B47" s="18" t="inlineStr">
        <is>
          <t>Discount Factor  [1/(1+WACC)^t]</t>
        </is>
      </c>
      <c r="F47" s="33">
        <f>1/(1+$C$38)^F46</f>
        <v/>
      </c>
      <c r="G47" s="33">
        <f>1/(1+$C$38)^G46</f>
        <v/>
      </c>
      <c r="H47" s="33">
        <f>1/(1+$C$38)^H46</f>
        <v/>
      </c>
      <c r="I47" s="33">
        <f>1/(1+$C$38)^I46</f>
        <v/>
      </c>
      <c r="J47" s="33">
        <f>1/(1+$C$38)^J46</f>
        <v/>
      </c>
      <c r="K47" s="33">
        <f>1/(1+$C$38)^K46</f>
        <v/>
      </c>
    </row>
    <row r="48">
      <c r="B48" s="15" t="inlineStr">
        <is>
          <t>Present Value of UFCF ($mm)</t>
        </is>
      </c>
      <c r="F48" s="26">
        <f>F28*F47</f>
        <v/>
      </c>
      <c r="G48" s="26">
        <f>G28*G47</f>
        <v/>
      </c>
      <c r="H48" s="26">
        <f>H28*H47</f>
        <v/>
      </c>
      <c r="I48" s="26">
        <f>I28*I47</f>
        <v/>
      </c>
      <c r="J48" s="26">
        <f>J28*J47</f>
        <v/>
      </c>
      <c r="K48" s="26">
        <f>K28*K47</f>
        <v/>
      </c>
    </row>
    <row r="50" ht="15" customHeight="1">
      <c r="B50" s="14" t="inlineStr">
        <is>
          <t xml:space="preserve">  6.  ENTERPRISE → EQUITY VALUE BRIDGE</t>
        </is>
      </c>
    </row>
    <row r="51">
      <c r="B51" s="18" t="inlineStr">
        <is>
          <t>Sum of PV(UFCF) — Years 1–6 ($mm)</t>
        </is>
      </c>
      <c r="C51" s="34">
        <f>SUM(F48:K48)</f>
        <v/>
      </c>
    </row>
    <row r="52">
      <c r="B52" s="18" t="inlineStr">
        <is>
          <t>PV of Terminal Value ($mm)</t>
        </is>
      </c>
      <c r="C52" s="22">
        <f>C43/(1+C38)^6</f>
        <v/>
      </c>
    </row>
    <row r="53">
      <c r="B53" s="15" t="inlineStr">
        <is>
          <t>Enterprise Value ($mm)</t>
        </is>
      </c>
      <c r="C53" s="27">
        <f>C51+C52</f>
        <v/>
      </c>
    </row>
    <row r="54">
      <c r="B54" s="18" t="inlineStr">
        <is>
          <t xml:space="preserve">  Less: Net Debt / (Net Cash) ($mm)</t>
        </is>
      </c>
      <c r="C54" s="35" t="n">
        <v>-51144</v>
      </c>
    </row>
    <row r="55">
      <c r="B55" s="18" t="inlineStr">
        <is>
          <t xml:space="preserve">  Add: Other EV Adjustments ($mm)</t>
        </is>
      </c>
      <c r="C55" s="35" t="n">
        <v>0</v>
      </c>
    </row>
    <row r="56">
      <c r="B56" s="15" t="inlineStr">
        <is>
          <t>Equity Value ($mm)</t>
        </is>
      </c>
      <c r="C56" s="36">
        <f>C53-C54+C55</f>
        <v/>
      </c>
    </row>
    <row r="57">
      <c r="B57" s="18" t="inlineStr">
        <is>
          <t>Diluted Shares Outstanding (mm)</t>
        </is>
      </c>
      <c r="C57" s="35" t="n">
        <v>24305</v>
      </c>
    </row>
    <row r="58">
      <c r="B58" s="15" t="inlineStr">
        <is>
          <t>IMPLIED SHARE PRICE ($)</t>
        </is>
      </c>
      <c r="C58" s="37">
        <f>C56/C57</f>
        <v/>
      </c>
    </row>
    <row r="59">
      <c r="B59" s="18" t="inlineStr">
        <is>
          <t xml:space="preserve">  Terminal Value as % of EV</t>
        </is>
      </c>
      <c r="C59" s="23">
        <f>C52/C53</f>
        <v/>
      </c>
    </row>
    <row r="61" ht="15" customHeight="1">
      <c r="B61" s="14" t="inlineStr">
        <is>
          <t xml:space="preserve">  7.  SENSITIVITY ANALYSIS — IMPLIED SHARE PRICE ($)</t>
        </is>
      </c>
    </row>
    <row r="62">
      <c r="B62" s="38" t="inlineStr">
        <is>
          <t>WACC  →</t>
        </is>
      </c>
      <c r="C62" s="39" t="n">
        <v>0.12</v>
      </c>
      <c r="D62" s="39" t="n">
        <v>0.13</v>
      </c>
      <c r="E62" s="39" t="n">
        <v>0.14</v>
      </c>
      <c r="F62" s="39" t="n">
        <v>0.15</v>
      </c>
      <c r="G62" s="39" t="n">
        <v>0.16</v>
      </c>
    </row>
    <row r="63">
      <c r="B63" s="39" t="n">
        <v>0.015</v>
      </c>
      <c r="C63" s="40">
        <f>(SUMPRODUCT(F28:K28,1/((1+0.12)^F46:K46))+K28*(1+0.015)/(0.12-0.015)/(1+0.12)^6-C54+C55)/C57</f>
        <v/>
      </c>
      <c r="D63" s="40">
        <f>(SUMPRODUCT(F28:K28,1/((1+0.13)^F46:K46))+K28*(1+0.015)/(0.13-0.015)/(1+0.13)^6-C54+C55)/C57</f>
        <v/>
      </c>
      <c r="E63" s="40">
        <f>(SUMPRODUCT(F28:K28,1/((1+0.14)^F46:K46))+K28*(1+0.015)/(0.14-0.015)/(1+0.14)^6-C54+C55)/C57</f>
        <v/>
      </c>
      <c r="F63" s="40">
        <f>(SUMPRODUCT(F28:K28,1/((1+0.15)^F46:K46))+K28*(1+0.015)/(0.15-0.015)/(1+0.15)^6-C54+C55)/C57</f>
        <v/>
      </c>
      <c r="G63" s="40">
        <f>(SUMPRODUCT(F28:K28,1/((1+0.16)^F46:K46))+K28*(1+0.015)/(0.16-0.015)/(1+0.16)^6-C54+C55)/C57</f>
        <v/>
      </c>
    </row>
    <row r="64">
      <c r="B64" s="39" t="n">
        <v>0.02</v>
      </c>
      <c r="C64" s="41">
        <f>(SUMPRODUCT(F28:K28,1/((1+0.12)^F46:K46))+K28*(1+0.02)/(0.12-0.02)/(1+0.12)^6-C54+C55)/C57</f>
        <v/>
      </c>
      <c r="D64" s="41">
        <f>(SUMPRODUCT(F28:K28,1/((1+0.13)^F46:K46))+K28*(1+0.02)/(0.13-0.02)/(1+0.13)^6-C54+C55)/C57</f>
        <v/>
      </c>
      <c r="E64" s="41">
        <f>(SUMPRODUCT(F28:K28,1/((1+0.14)^F46:K46))+K28*(1+0.02)/(0.14-0.02)/(1+0.14)^6-C54+C55)/C57</f>
        <v/>
      </c>
      <c r="F64" s="41">
        <f>(SUMPRODUCT(F28:K28,1/((1+0.15)^F46:K46))+K28*(1+0.02)/(0.15-0.02)/(1+0.15)^6-C54+C55)/C57</f>
        <v/>
      </c>
      <c r="G64" s="41">
        <f>(SUMPRODUCT(F28:K28,1/((1+0.16)^F46:K46))+K28*(1+0.02)/(0.16-0.02)/(1+0.16)^6-C54+C55)/C57</f>
        <v/>
      </c>
    </row>
    <row r="65">
      <c r="B65" s="39" t="n">
        <v>0.025</v>
      </c>
      <c r="C65" s="40">
        <f>(SUMPRODUCT(F28:K28,1/((1+0.12)^F46:K46))+K28*(1+0.025)/(0.12-0.025)/(1+0.12)^6-C54+C55)/C57</f>
        <v/>
      </c>
      <c r="D65" s="40">
        <f>(SUMPRODUCT(F28:K28,1/((1+0.13)^F46:K46))+K28*(1+0.025)/(0.13-0.025)/(1+0.13)^6-C54+C55)/C57</f>
        <v/>
      </c>
      <c r="E65" s="40">
        <f>(SUMPRODUCT(F28:K28,1/((1+0.14)^F46:K46))+K28*(1+0.025)/(0.14-0.025)/(1+0.14)^6-C54+C55)/C57</f>
        <v/>
      </c>
      <c r="F65" s="40">
        <f>(SUMPRODUCT(F28:K28,1/((1+0.15)^F46:K46))+K28*(1+0.025)/(0.15-0.025)/(1+0.15)^6-C54+C55)/C57</f>
        <v/>
      </c>
      <c r="G65" s="40">
        <f>(SUMPRODUCT(F28:K28,1/((1+0.16)^F46:K46))+K28*(1+0.025)/(0.16-0.025)/(1+0.16)^6-C54+C55)/C57</f>
        <v/>
      </c>
    </row>
    <row r="66">
      <c r="B66" s="39" t="n">
        <v>0.03</v>
      </c>
      <c r="C66" s="41">
        <f>(SUMPRODUCT(F28:K28,1/((1+0.12)^F46:K46))+K28*(1+0.03)/(0.12-0.03)/(1+0.12)^6-C54+C55)/C57</f>
        <v/>
      </c>
      <c r="D66" s="41">
        <f>(SUMPRODUCT(F28:K28,1/((1+0.13)^F46:K46))+K28*(1+0.03)/(0.13-0.03)/(1+0.13)^6-C54+C55)/C57</f>
        <v/>
      </c>
      <c r="E66" s="41">
        <f>(SUMPRODUCT(F28:K28,1/((1+0.14)^F46:K46))+K28*(1+0.03)/(0.14-0.03)/(1+0.14)^6-C54+C55)/C57</f>
        <v/>
      </c>
      <c r="F66" s="41">
        <f>(SUMPRODUCT(F28:K28,1/((1+0.15)^F46:K46))+K28*(1+0.03)/(0.15-0.03)/(1+0.15)^6-C54+C55)/C57</f>
        <v/>
      </c>
      <c r="G66" s="41">
        <f>(SUMPRODUCT(F28:K28,1/((1+0.16)^F46:K46))+K28*(1+0.03)/(0.16-0.03)/(1+0.16)^6-C54+C55)/C57</f>
        <v/>
      </c>
    </row>
    <row r="67">
      <c r="B67" s="39" t="n">
        <v>0.035</v>
      </c>
      <c r="C67" s="40">
        <f>(SUMPRODUCT(F28:K28,1/((1+0.12)^F46:K46))+K28*(1+0.035)/(0.12-0.035)/(1+0.12)^6-C54+C55)/C57</f>
        <v/>
      </c>
      <c r="D67" s="40">
        <f>(SUMPRODUCT(F28:K28,1/((1+0.13)^F46:K46))+K28*(1+0.035)/(0.13-0.035)/(1+0.13)^6-C54+C55)/C57</f>
        <v/>
      </c>
      <c r="E67" s="40">
        <f>(SUMPRODUCT(F28:K28,1/((1+0.14)^F46:K46))+K28*(1+0.035)/(0.14-0.035)/(1+0.14)^6-C54+C55)/C57</f>
        <v/>
      </c>
      <c r="F67" s="40">
        <f>(SUMPRODUCT(F28:K28,1/((1+0.15)^F46:K46))+K28*(1+0.035)/(0.15-0.035)/(1+0.15)^6-C54+C55)/C57</f>
        <v/>
      </c>
      <c r="G67" s="40">
        <f>(SUMPRODUCT(F28:K28,1/((1+0.16)^F46:K46))+K28*(1+0.035)/(0.16-0.035)/(1+0.16)^6-C54+C55)/C57</f>
        <v/>
      </c>
    </row>
    <row r="70" ht="15" customHeight="1">
      <c r="B70" s="42" t="inlineStr">
        <is>
          <t xml:space="preserve">  COLOUR LEGEND</t>
        </is>
      </c>
    </row>
    <row r="71">
      <c r="B71" s="43" t="inlineStr">
        <is>
          <t>Historical Hardcoded Input</t>
        </is>
      </c>
      <c r="D71" s="44" t="inlineStr">
        <is>
          <t>Blue text, white background — sourced from actual financials</t>
        </is>
      </c>
    </row>
    <row r="72">
      <c r="B72" s="45" t="inlineStr">
        <is>
          <t>Projected Assumption / Driver</t>
        </is>
      </c>
      <c r="D72" s="44" t="inlineStr">
        <is>
          <t>Blue text, yellow background — user-adjustable</t>
        </is>
      </c>
    </row>
    <row r="73">
      <c r="B73" s="46" t="inlineStr">
        <is>
          <t>Formula / Calculation</t>
        </is>
      </c>
      <c r="D73" s="44" t="inlineStr">
        <is>
          <t>Black text — do not edit directly</t>
        </is>
      </c>
    </row>
    <row r="74">
      <c r="B74" s="47" t="inlineStr">
        <is>
          <t>Cross-Sheet Link</t>
        </is>
      </c>
      <c r="D74" s="44" t="inlineStr">
        <is>
          <t>Green text — pulls from another worksheet</t>
        </is>
      </c>
    </row>
    <row r="75">
      <c r="B75" s="48" t="inlineStr">
        <is>
          <t>Subtotal</t>
        </is>
      </c>
      <c r="D75" s="44" t="inlineStr">
        <is>
          <t>Light blue fill — intermediate total</t>
        </is>
      </c>
    </row>
    <row r="76">
      <c r="B76" s="49" t="inlineStr">
        <is>
          <t>Key Output / Total</t>
        </is>
      </c>
      <c r="D76" s="44" t="inlineStr">
        <is>
          <t>Blue fill — primary line total</t>
        </is>
      </c>
    </row>
    <row r="77">
      <c r="B77" s="50" t="inlineStr">
        <is>
          <t>Equity Value / Price Output</t>
        </is>
      </c>
      <c r="D77" s="44" t="inlineStr">
        <is>
          <t>Green fill — final valuation output</t>
        </is>
      </c>
    </row>
    <row r="78">
      <c r="B78" s="51" t="inlineStr">
        <is>
          <t>Sensitivity Base Case</t>
        </is>
      </c>
      <c r="D78" s="44" t="inlineStr">
        <is>
          <t>Yellow fill — base case in sensitivity table</t>
        </is>
      </c>
    </row>
  </sheetData>
  <mergeCells count="11">
    <mergeCell ref="B45:K45"/>
    <mergeCell ref="F5:K5"/>
    <mergeCell ref="B61:K61"/>
    <mergeCell ref="B1:K1"/>
    <mergeCell ref="B8:K8"/>
    <mergeCell ref="C5:E5"/>
    <mergeCell ref="B50:K50"/>
    <mergeCell ref="B40:K40"/>
    <mergeCell ref="B70:K70"/>
    <mergeCell ref="B30:K30"/>
    <mergeCell ref="B20:K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O2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9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0" customWidth="1" min="9" max="9"/>
    <col width="10" customWidth="1" min="10" max="10"/>
    <col width="9" customWidth="1" min="11" max="11"/>
    <col width="10" customWidth="1" min="12" max="12"/>
    <col width="11" customWidth="1" min="13" max="13"/>
    <col width="12" customWidth="1" min="14" max="14"/>
  </cols>
  <sheetData>
    <row r="1" ht="15" customHeight="1">
      <c r="B1" s="6" t="inlineStr">
        <is>
          <t>INTRINSIC  |  Comparable Company Analysis  (Trading Comps)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</row>
    <row r="3" ht="15" customHeight="1">
      <c r="B3" s="14" t="inlineStr">
        <is>
          <t xml:space="preserve">  ENTERPRISE VALUE MULTIPLES</t>
        </is>
      </c>
    </row>
    <row r="4" ht="28" customHeight="1">
      <c r="B4" s="52" t="inlineStr">
        <is>
          <t>Company</t>
        </is>
      </c>
      <c r="C4" s="52" t="inlineStr">
        <is>
          <t>Ticker</t>
        </is>
      </c>
      <c r="D4" s="52" t="inlineStr">
        <is>
          <t>Mkt Cap
($mm)</t>
        </is>
      </c>
      <c r="E4" s="52" t="inlineStr">
        <is>
          <t>Net Debt
($mm)</t>
        </is>
      </c>
      <c r="F4" s="52" t="inlineStr">
        <is>
          <t>EV
($mm)</t>
        </is>
      </c>
      <c r="G4" s="52" t="inlineStr">
        <is>
          <t>Rev LTM
($mm)</t>
        </is>
      </c>
      <c r="H4" s="52" t="inlineStr">
        <is>
          <t>EBITDA
($mm)</t>
        </is>
      </c>
      <c r="I4" s="52" t="inlineStr">
        <is>
          <t>EV /
Revenue</t>
        </is>
      </c>
      <c r="J4" s="52" t="inlineStr">
        <is>
          <t>EV /
EBITDA</t>
        </is>
      </c>
      <c r="K4" s="52" t="inlineStr">
        <is>
          <t>P/E
NTM</t>
        </is>
      </c>
      <c r="L4" s="52" t="inlineStr">
        <is>
          <t>Rev
Growth</t>
        </is>
      </c>
      <c r="M4" s="52" t="inlineStr">
        <is>
          <t>EBITDA
Margin</t>
        </is>
      </c>
      <c r="N4" s="52" t="inlineStr">
        <is>
          <t>NTM
EPS ($)</t>
        </is>
      </c>
    </row>
    <row r="5">
      <c r="B5" s="53" t="inlineStr">
        <is>
          <t>Advanced Micro Devices, Inc.</t>
        </is>
      </c>
      <c r="C5" s="54" t="inlineStr">
        <is>
          <t>AMD</t>
        </is>
      </c>
      <c r="D5" s="55" t="n">
        <v>666035</v>
      </c>
      <c r="E5" s="55" t="n">
        <v>-8476</v>
      </c>
      <c r="F5" s="56">
        <f>D5+E5</f>
        <v/>
      </c>
      <c r="G5" s="55" t="n">
        <v>37500</v>
      </c>
      <c r="H5" s="55" t="n">
        <v>7425</v>
      </c>
      <c r="I5" s="57">
        <f>F5/G5</f>
        <v/>
      </c>
      <c r="J5" s="57">
        <f>F5/H5</f>
        <v/>
      </c>
      <c r="K5" s="58" t="n">
        <v>31.9</v>
      </c>
      <c r="L5" s="59" t="n">
        <v>13.6</v>
      </c>
      <c r="M5" s="60">
        <f>H5/G5</f>
        <v/>
      </c>
      <c r="N5" s="40">
        <f>D5/H5</f>
        <v/>
      </c>
    </row>
    <row r="6">
      <c r="B6" s="61" t="inlineStr">
        <is>
          <t>Broadcom Inc.</t>
        </is>
      </c>
      <c r="C6" s="62" t="inlineStr">
        <is>
          <t>AVGO</t>
        </is>
      </c>
      <c r="D6" s="63" t="n">
        <v>1953335</v>
      </c>
      <c r="E6" s="63" t="n">
        <v>51883</v>
      </c>
      <c r="F6" s="64">
        <f>D6+E6</f>
        <v/>
      </c>
      <c r="G6" s="63" t="n">
        <v>68300</v>
      </c>
      <c r="H6" s="63" t="n">
        <v>37224</v>
      </c>
      <c r="I6" s="65">
        <f>F6/G6</f>
        <v/>
      </c>
      <c r="J6" s="65">
        <f>F6/H6</f>
        <v/>
      </c>
      <c r="K6" s="66" t="n">
        <v>22.8</v>
      </c>
      <c r="L6" s="67" t="n">
        <v>24.4</v>
      </c>
      <c r="M6" s="68">
        <f>H6/G6</f>
        <v/>
      </c>
      <c r="N6" s="41">
        <f>D6/H6</f>
        <v/>
      </c>
    </row>
    <row r="7">
      <c r="B7" s="53" t="inlineStr">
        <is>
          <t>ASML Holding N.V. - New York Re</t>
        </is>
      </c>
      <c r="C7" s="54" t="inlineStr">
        <is>
          <t>ASML</t>
        </is>
      </c>
      <c r="D7" s="55" t="n">
        <v>584524</v>
      </c>
      <c r="E7" s="55" t="n">
        <v>-5671</v>
      </c>
      <c r="F7" s="56">
        <f>D7+E7</f>
        <v/>
      </c>
      <c r="G7" s="55" t="n">
        <v>33700</v>
      </c>
      <c r="H7" s="55" t="n">
        <v>12705</v>
      </c>
      <c r="I7" s="57">
        <f>F7/G7</f>
        <v/>
      </c>
      <c r="J7" s="57">
        <f>F7/H7</f>
        <v/>
      </c>
      <c r="K7" s="58" t="n">
        <v>31.7</v>
      </c>
      <c r="L7" s="59" t="n">
        <v>15.6</v>
      </c>
      <c r="M7" s="60">
        <f>H7/G7</f>
        <v/>
      </c>
      <c r="N7" s="40">
        <f>D7/H7</f>
        <v/>
      </c>
    </row>
    <row r="8">
      <c r="B8" s="14" t="inlineStr">
        <is>
          <t>Mean</t>
        </is>
      </c>
      <c r="D8" s="69">
        <f>AVERAGE(D5:D7)</f>
        <v/>
      </c>
      <c r="E8" s="69">
        <f>AVERAGE(E5:E7)</f>
        <v/>
      </c>
      <c r="F8" s="69">
        <f>AVERAGE(F5:F7)</f>
        <v/>
      </c>
      <c r="G8" s="69">
        <f>AVERAGE(G5:G7)</f>
        <v/>
      </c>
      <c r="H8" s="69">
        <f>AVERAGE(H5:H7)</f>
        <v/>
      </c>
      <c r="I8" s="70">
        <f>AVERAGE(I5:I7)</f>
        <v/>
      </c>
      <c r="J8" s="70">
        <f>AVERAGE(J5:J7)</f>
        <v/>
      </c>
      <c r="K8" s="70">
        <f>AVERAGE(K5:K7)</f>
        <v/>
      </c>
      <c r="L8" s="71">
        <f>AVERAGE(L5:L7)</f>
        <v/>
      </c>
      <c r="M8" s="71">
        <f>AVERAGE(M5:M7)</f>
        <v/>
      </c>
      <c r="N8" s="72">
        <f>AVERAGE(N5:N7)</f>
        <v/>
      </c>
    </row>
    <row r="9">
      <c r="B9" s="14" t="inlineStr">
        <is>
          <t>Median</t>
        </is>
      </c>
      <c r="D9" s="69">
        <f>MEDIAN(D5:D7)</f>
        <v/>
      </c>
      <c r="E9" s="69">
        <f>MEDIAN(E5:E7)</f>
        <v/>
      </c>
      <c r="F9" s="69">
        <f>MEDIAN(F5:F7)</f>
        <v/>
      </c>
      <c r="G9" s="69">
        <f>MEDIAN(G5:G7)</f>
        <v/>
      </c>
      <c r="H9" s="69">
        <f>MEDIAN(H5:H7)</f>
        <v/>
      </c>
      <c r="I9" s="70">
        <f>MEDIAN(I5:I7)</f>
        <v/>
      </c>
      <c r="J9" s="70">
        <f>MEDIAN(J5:J7)</f>
        <v/>
      </c>
      <c r="K9" s="70">
        <f>MEDIAN(K5:K7)</f>
        <v/>
      </c>
      <c r="L9" s="71">
        <f>MEDIAN(L5:L7)</f>
        <v/>
      </c>
      <c r="M9" s="71">
        <f>MEDIAN(M5:M7)</f>
        <v/>
      </c>
      <c r="N9" s="72">
        <f>MEDIAN(N5:N7)</f>
        <v/>
      </c>
    </row>
    <row r="10">
      <c r="B10" s="14" t="inlineStr">
        <is>
          <t>25th Percentile</t>
        </is>
      </c>
      <c r="D10" s="69">
        <f>QUARTILE(D5:D7,1)</f>
        <v/>
      </c>
      <c r="E10" s="69">
        <f>QUARTILE(E5:E7,1)</f>
        <v/>
      </c>
      <c r="F10" s="69">
        <f>QUARTILE(F5:F7,1)</f>
        <v/>
      </c>
      <c r="G10" s="69">
        <f>QUARTILE(G5:G7,1)</f>
        <v/>
      </c>
      <c r="H10" s="69">
        <f>QUARTILE(H5:H7,1)</f>
        <v/>
      </c>
      <c r="I10" s="70">
        <f>QUARTILE(I5:I7,1)</f>
        <v/>
      </c>
      <c r="J10" s="70">
        <f>QUARTILE(J5:J7,1)</f>
        <v/>
      </c>
      <c r="K10" s="70">
        <f>QUARTILE(K5:K7,1)</f>
        <v/>
      </c>
      <c r="L10" s="71">
        <f>QUARTILE(L5:L7,1)</f>
        <v/>
      </c>
      <c r="M10" s="71">
        <f>QUARTILE(M5:M7,1)</f>
        <v/>
      </c>
      <c r="N10" s="72">
        <f>QUARTILE(N5:N7,1)</f>
        <v/>
      </c>
    </row>
    <row r="11">
      <c r="B11" s="14" t="inlineStr">
        <is>
          <t>75th Percentile</t>
        </is>
      </c>
      <c r="D11" s="69">
        <f>QUARTILE(D5:D7,3)</f>
        <v/>
      </c>
      <c r="E11" s="69">
        <f>QUARTILE(E5:E7,3)</f>
        <v/>
      </c>
      <c r="F11" s="69">
        <f>QUARTILE(F5:F7,3)</f>
        <v/>
      </c>
      <c r="G11" s="69">
        <f>QUARTILE(G5:G7,3)</f>
        <v/>
      </c>
      <c r="H11" s="69">
        <f>QUARTILE(H5:H7,3)</f>
        <v/>
      </c>
      <c r="I11" s="70">
        <f>QUARTILE(I5:I7,3)</f>
        <v/>
      </c>
      <c r="J11" s="70">
        <f>QUARTILE(J5:J7,3)</f>
        <v/>
      </c>
      <c r="K11" s="70">
        <f>QUARTILE(K5:K7,3)</f>
        <v/>
      </c>
      <c r="L11" s="71">
        <f>QUARTILE(L5:L7,3)</f>
        <v/>
      </c>
      <c r="M11" s="71">
        <f>QUARTILE(M5:M7,3)</f>
        <v/>
      </c>
      <c r="N11" s="72">
        <f>QUARTILE(N5:N7,3)</f>
        <v/>
      </c>
    </row>
    <row r="13" ht="15" customHeight="1">
      <c r="B13" s="14" t="inlineStr">
        <is>
          <t xml:space="preserve">  IMPLIED VALUATION FROM COMPS</t>
        </is>
      </c>
    </row>
    <row r="14" ht="28" customHeight="1">
      <c r="B14" s="73" t="inlineStr">
        <is>
          <t>Metric</t>
        </is>
      </c>
      <c r="C14" s="73" t="inlineStr">
        <is>
          <t>Subject LTM
($mm)</t>
        </is>
      </c>
      <c r="D14" s="73" t="inlineStr">
        <is>
          <t>Median
Multiple</t>
        </is>
      </c>
      <c r="E14" s="73" t="inlineStr">
        <is>
          <t>Implied EV
($mm)</t>
        </is>
      </c>
      <c r="F14" s="73" t="inlineStr">
        <is>
          <t>Net Debt
($mm)</t>
        </is>
      </c>
      <c r="G14" s="73" t="inlineStr">
        <is>
          <t>Equity Value
($mm)</t>
        </is>
      </c>
      <c r="H14" s="73" t="inlineStr">
        <is>
          <t>Shares
(mm)</t>
        </is>
      </c>
      <c r="I14" s="73" t="inlineStr">
        <is>
          <t>Implied Price
($)</t>
        </is>
      </c>
    </row>
    <row r="15">
      <c r="B15" s="61" t="inlineStr">
        <is>
          <t>EV / Revenue</t>
        </is>
      </c>
      <c r="C15" s="63" t="n">
        <v>215938</v>
      </c>
      <c r="D15" s="74">
        <f>I9</f>
        <v/>
      </c>
      <c r="E15" s="64">
        <f>C15*D15</f>
        <v/>
      </c>
      <c r="F15" s="63" t="n">
        <v>-52275</v>
      </c>
      <c r="G15" s="64">
        <f>E15-F15</f>
        <v/>
      </c>
      <c r="H15" s="75" t="n">
        <v>24300</v>
      </c>
      <c r="I15" s="76">
        <f>G15/H15</f>
        <v/>
      </c>
    </row>
    <row r="16">
      <c r="B16" s="53" t="inlineStr">
        <is>
          <t>EV / EBITDA</t>
        </is>
      </c>
      <c r="C16" s="55" t="n">
        <v>133230</v>
      </c>
      <c r="D16" s="77">
        <f>J9</f>
        <v/>
      </c>
      <c r="E16" s="56">
        <f>C16*D16</f>
        <v/>
      </c>
      <c r="F16" s="55" t="n">
        <v>-52275</v>
      </c>
      <c r="G16" s="56">
        <f>E16-F16</f>
        <v/>
      </c>
      <c r="H16" s="78" t="n">
        <v>24300</v>
      </c>
      <c r="I16" s="76">
        <f>G16/H16</f>
        <v/>
      </c>
    </row>
    <row r="18" ht="15" customHeight="1">
      <c r="B18" s="14" t="inlineStr">
        <is>
          <t xml:space="preserve">  FOOTBALL FIELD — VALUATION RANGE SUMMARY</t>
        </is>
      </c>
    </row>
    <row r="19">
      <c r="B19" s="79" t="inlineStr">
        <is>
          <t>Methodology</t>
        </is>
      </c>
      <c r="C19" s="79" t="inlineStr">
        <is>
          <t>Low ($)</t>
        </is>
      </c>
      <c r="D19" s="79" t="inlineStr">
        <is>
          <t>Mid ($)</t>
        </is>
      </c>
      <c r="E19" s="79" t="inlineStr">
        <is>
          <t>High ($)</t>
        </is>
      </c>
      <c r="F19" s="79" t="inlineStr">
        <is>
          <t>Notes</t>
        </is>
      </c>
    </row>
    <row r="20">
      <c r="B20" s="53" t="inlineStr">
        <is>
          <t>DCF — Sensitivity Range (across WACC &amp; g)</t>
        </is>
      </c>
      <c r="C20" s="80">
        <f>MIN(DCF!C63:G67)</f>
        <v/>
      </c>
      <c r="D20" s="80">
        <f>DCF!E65</f>
        <v/>
      </c>
      <c r="E20" s="80">
        <f>MAX(DCF!C63:G67)</f>
        <v/>
      </c>
      <c r="F20" s="53" t="inlineStr">
        <is>
          <t>From DCF sheet sensitivity grid</t>
        </is>
      </c>
    </row>
    <row r="21">
      <c r="B21" s="61" t="inlineStr">
        <is>
          <t>EV / Revenue Comps (peer median)</t>
        </is>
      </c>
      <c r="C21" s="81">
        <f>I15*0.85</f>
        <v/>
      </c>
      <c r="D21" s="81">
        <f>I15</f>
        <v/>
      </c>
      <c r="E21" s="81">
        <f>I15*1.15</f>
        <v/>
      </c>
      <c r="F21" s="61" t="inlineStr">
        <is>
          <t>Median applied to LTM revenue</t>
        </is>
      </c>
    </row>
    <row r="22">
      <c r="B22" s="53" t="inlineStr">
        <is>
          <t>EV / EBITDA Comps (peer median)</t>
        </is>
      </c>
      <c r="C22" s="80">
        <f>I16*0.85</f>
        <v/>
      </c>
      <c r="D22" s="80">
        <f>I16</f>
        <v/>
      </c>
      <c r="E22" s="80">
        <f>I16*1.15</f>
        <v/>
      </c>
      <c r="F22" s="53" t="inlineStr">
        <is>
          <t>Median applied to LTM EBITDA</t>
        </is>
      </c>
    </row>
    <row r="23">
      <c r="B23" s="61" t="inlineStr">
        <is>
          <t>52-Week Trading Range</t>
        </is>
      </c>
      <c r="C23" s="82" t="n">
        <v>115.21</v>
      </c>
      <c r="E23" s="82" t="n">
        <v>216.83</v>
      </c>
      <c r="F23" s="61" t="inlineStr">
        <is>
          <t>Market reference</t>
        </is>
      </c>
    </row>
    <row r="24">
      <c r="B24" s="53" t="inlineStr">
        <is>
          <t>Current Market Price</t>
        </is>
      </c>
      <c r="C24" s="83" t="n">
        <v>211.5</v>
      </c>
      <c r="E24" s="83" t="n">
        <v>211.5</v>
      </c>
      <c r="F24" s="53" t="inlineStr">
        <is>
          <t>Reference line</t>
        </is>
      </c>
    </row>
    <row r="26" ht="22" customHeight="1">
      <c r="B26" s="84" t="inlineStr">
        <is>
          <t>DISCLAIMER: Generated by Intrinsic. For informational purposes only. Not investment advice. All figures in $mm unless stated.</t>
        </is>
      </c>
    </row>
  </sheetData>
  <mergeCells count="5">
    <mergeCell ref="B1:O1"/>
    <mergeCell ref="B26:N26"/>
    <mergeCell ref="B18:N18"/>
    <mergeCell ref="B13:N13"/>
    <mergeCell ref="B3:N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2026-05-07T23:50:35Z</dcterms:created>
  <dcterms:modified xsi:type="dcterms:W3CDTF">2026-05-07T23:50:35Z</dcterms:modified>
</cp:coreProperties>
</file>